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6950" windowHeight="12675" activeTab="1"/>
  </bookViews>
  <sheets>
    <sheet name="Start" sheetId="1" r:id="rId1"/>
    <sheet name="Spielplan" sheetId="2" r:id="rId2"/>
    <sheet name="Rangliste_GR_2" sheetId="4" r:id="rId3"/>
    <sheet name="Rangliste_GR_1" sheetId="3" r:id="rId4"/>
    <sheet name="RanglisteGesamt" sheetId="7" r:id="rId5"/>
  </sheets>
  <definedNames>
    <definedName name="_xlnm.Print_Titles" localSheetId="1">Spielplan!$1:$3</definedName>
    <definedName name="eTore_Team_01">Spielplan!$G$4,Spielplan!$E$8,Spielplan!$G$11,Spielplan!$E$14,Spielplan!$M$20,Spielplan!$O$24,Spielplan!$O$29</definedName>
    <definedName name="eTore_Team_02">Spielplan!$E$4,Spielplan!$O$7,Spielplan!$G$12,Spielplan!$E$15,Spielplan!$O$18,Spielplan!$M$23,Spielplan!$M$28</definedName>
    <definedName name="eTore_Team_03">Spielplan!$M$5,Spielplan!$G$8,Spielplan!$O$14,Spielplan!$O$17,Spielplan!$E$20,Spielplan!$O$23,Spielplan!$E$28</definedName>
    <definedName name="eTore_Team_04">Spielplan!$O$5,Spielplan!$M$8,Spielplan!$E$11,Spielplan!$G$17,Spielplan!$O$22,Spielplan!$M$25,Spielplan!$O$28</definedName>
    <definedName name="eTore_Team_05">Spielplan!$G$6,Spielplan!$E$10,Spielplan!$E$12,Spielplan!$G$20,Spielplan!$G$26,Spielplan!$M$22,Spielplan!$M$29</definedName>
    <definedName name="eTore_Team_06">Spielplan!$E$6,Spielplan!$G$14,Spielplan!$E$21,Spielplan!$G$28,Spielplan!$O$25,Spielplan!$M$18,Spielplan!$M$11</definedName>
    <definedName name="eTore_Team_07">Spielplan!$M$4,Spielplan!$O$8,Spielplan!$O$11,Spielplan!$M$17,Spielplan!$O$20,Spielplan!$G$15,Spielplan!$E$26</definedName>
    <definedName name="eTore_Team_08">Spielplan!$O$4,Spielplan!$M$7,Spielplan!$M$14,Spielplan!$M$24,Spielplan!$G$21,Spielplan!$E$17,Spielplan!$G$10</definedName>
    <definedName name="eTore_Team_09">Spielplan!$E$7,Spielplan!$O$12,Spielplan!$M$16,Spielplan!$G$18,Spielplan!$G$25,Spielplan!$M$21</definedName>
    <definedName name="eTore_Team_10">Spielplan!$G$9,Spielplan!$E$19,Spielplan!$E$24,Spielplan!$M$13,Spielplan!$O$16,Spielplan!$O$27</definedName>
    <definedName name="eTore_Team_11">Spielplan!$G$5,Spielplan!$E$9,Spielplan!$M$12,Spielplan!$O$15,Spielplan!$M$19,Spielplan!$G$27</definedName>
    <definedName name="eTore_Team_12">Spielplan!$E$5,Spielplan!$G$13,Spielplan!$O$9,Spielplan!$E$18,Spielplan!$G$22,Spielplan!$M$27</definedName>
    <definedName name="eTore_Team_13">Spielplan!$O$6,Spielplan!$M$9,Spielplan!$O$13,Spielplan!$O$19,Spielplan!$E$25,Spielplan!$E$29</definedName>
    <definedName name="eTore_Team_14">Spielplan!$M$6,Spielplan!$O$10,Spielplan!$E$13,Spielplan!$O$21,Spielplan!$G$24,Spielplan!$E$27</definedName>
    <definedName name="eTore_Team_15">Spielplan!$G$7,Spielplan!$M$10,Spielplan!$M$15,Spielplan!$G$19,Spielplan!$E$22,Spielplan!$G$29</definedName>
    <definedName name="Punkte_Team_01">Spielplan!$D$4,Spielplan!$H$8,Spielplan!$D$11,Spielplan!$H$14,Spielplan!$P$20,Spielplan!$L$24,Spielplan!$L$29</definedName>
    <definedName name="Punkte_Team_02">Spielplan!$H$4,Spielplan!$L$7,Spielplan!$D$12,Spielplan!$H$15,Spielplan!$L$18,Spielplan!$P$23,Spielplan!$P$28</definedName>
    <definedName name="Punkte_Team_03">Spielplan!$P$5,Spielplan!$D$8,Spielplan!$L$14,Spielplan!$L$17,Spielplan!$H$20,Spielplan!$L$23,Spielplan!$H$28</definedName>
    <definedName name="Punkte_Team_04">Spielplan!$L$5,Spielplan!$P$8,Spielplan!$H$11,Spielplan!$D$17,Spielplan!$L$22,Spielplan!$P$25,Spielplan!$L$28</definedName>
    <definedName name="Punkte_Team_05">Spielplan!$D$6,Spielplan!$H$10,Spielplan!$H$12,Spielplan!$D$20,Spielplan!$D$26,Spielplan!$P$22,Spielplan!$P$29</definedName>
    <definedName name="Punkte_Team_06">Spielplan!$H$6,Spielplan!$P$11,Spielplan!$D$14,Spielplan!$H$21,Spielplan!$P$18,Spielplan!$L$25,Spielplan!$D$28</definedName>
    <definedName name="Punkte_Team_07">Spielplan!$P$4,Spielplan!$L$8,Spielplan!$L$11,Spielplan!$D$15,Spielplan!$P$17,Spielplan!$L$20,Spielplan!$H$26</definedName>
    <definedName name="Punkte_Team_08">Spielplan!$L$4,Spielplan!$P$7,Spielplan!$P$14,Spielplan!$D$10,Spielplan!$H$17,Spielplan!$D$21,Spielplan!$P$24</definedName>
    <definedName name="Punkte_Team_09">Spielplan!$H$7,Spielplan!$L$12,Spielplan!$P$16,Spielplan!$D$18,Spielplan!$D$25,Spielplan!$P$21</definedName>
    <definedName name="Punkte_Team_10">Spielplan!$D$9,Spielplan!$P$13,Spielplan!$L$16,Spielplan!$H$19,Spielplan!$H$24,Spielplan!$L$27</definedName>
    <definedName name="Punkte_Team_11">Spielplan!$D$5,Spielplan!$H$9,Spielplan!$P$12,Spielplan!$L$15,Spielplan!$P$19,Spielplan!$D$27</definedName>
    <definedName name="Punkte_Team_12">Spielplan!$H$5,Spielplan!$L$9,Spielplan!$D$13,Spielplan!$H$18,Spielplan!$D$22,Spielplan!$P$27</definedName>
    <definedName name="Punkte_Team_13">Spielplan!$L$6,Spielplan!$P$9,Spielplan!$L$13,Spielplan!$L$19,Spielplan!$H$25,Spielplan!$H$29</definedName>
    <definedName name="Punkte_Team_14">Spielplan!$P$6,Spielplan!$L$10,Spielplan!$H$13,Spielplan!$L$21,Spielplan!$D$24,Spielplan!$H$27</definedName>
    <definedName name="Punkte_Team_15">Spielplan!$D$7,Spielplan!$P$10,Spielplan!$P$15,Spielplan!$D$19,Spielplan!$H$22,Spielplan!$D$29</definedName>
    <definedName name="Spielbeginn">Start!$E$21</definedName>
    <definedName name="Spielzeit">Start!$E$22</definedName>
    <definedName name="Team_01">Start!$B$5</definedName>
    <definedName name="Team_02">Start!$B$6</definedName>
    <definedName name="Team_03">Start!$B$7</definedName>
    <definedName name="Team_04">Start!$B$8</definedName>
    <definedName name="Team_05">Start!$B$9</definedName>
    <definedName name="Team_06">Start!$B$10</definedName>
    <definedName name="Team_07">Start!$B$11</definedName>
    <definedName name="Team_08">Start!$B$12</definedName>
    <definedName name="Team_09">Start!$E$5</definedName>
    <definedName name="Team_10">Start!$E$6</definedName>
    <definedName name="Team_11">Start!$E$7</definedName>
    <definedName name="Team_12">Start!$E$8</definedName>
    <definedName name="Team_13">Start!$E$9</definedName>
    <definedName name="Team_14">Start!$E$10</definedName>
    <definedName name="Team_15">Start!$E$11</definedName>
    <definedName name="Tore_Team_01">Spielplan!$E$4,Spielplan!$G$8,Spielplan!$G$14,Spielplan!$E$11,Spielplan!$O$20,Spielplan!$M$24,Spielplan!$M$29</definedName>
    <definedName name="Tore_Team_02">Spielplan!$G$4,Spielplan!$M$7,Spielplan!$E$12,Spielplan!$G$15,Spielplan!$M$18,Spielplan!$O$23,Spielplan!$O$28</definedName>
    <definedName name="Tore_Team_03">Spielplan!$O$5,Spielplan!$E$8,Spielplan!$M$14,Spielplan!$M$17,Spielplan!$G$20,Spielplan!$M$23,Spielplan!$G$28</definedName>
    <definedName name="Tore_Team_04">Spielplan!$M$5,Spielplan!$O$8,Spielplan!$G$11,Spielplan!$E$17,Spielplan!$M$22,Spielplan!$O$25,Spielplan!$M$28</definedName>
    <definedName name="Tore_Team_05">Spielplan!$E$6,Spielplan!$G$10,Spielplan!$G$12,Spielplan!$E$20,Spielplan!$E$26,Spielplan!$O$22,Spielplan!$O$29</definedName>
    <definedName name="Tore_Team_06">Spielplan!$G$6,Spielplan!$E$14,Spielplan!$G$21,Spielplan!$E$28,Spielplan!$O$11,Spielplan!$O$18,Spielplan!$M$25</definedName>
    <definedName name="Tore_Team_07">Spielplan!$O$4,Spielplan!$M$8,Spielplan!$M$11,Spielplan!$O$17,Spielplan!$M$20,Spielplan!$E$15,Spielplan!$G$26</definedName>
    <definedName name="Tore_Team_08">Spielplan!$M$4,Spielplan!$O$7,Spielplan!$O$14,Spielplan!$O$24,Spielplan!$E$21,Spielplan!$G$17,Spielplan!$E$10</definedName>
    <definedName name="Tore_Team_09">Spielplan!$G$7,Spielplan!$M$12,Spielplan!$O$16,Spielplan!$E$18,Spielplan!$E$25,Spielplan!$O$21</definedName>
    <definedName name="Tore_Team_10">Spielplan!$E$9,Spielplan!$O$13,Spielplan!$M$16,Spielplan!$M$27,Spielplan!$G$19,Spielplan!$G$24</definedName>
    <definedName name="Tore_Team_11">Spielplan!$E$5,Spielplan!$G$9,Spielplan!$O$12,Spielplan!$M$15,Spielplan!$O$19,Spielplan!$E$27</definedName>
    <definedName name="Tore_Team_12">Spielplan!$G$5,Spielplan!$M$9,Spielplan!$E$13,Spielplan!$G$18,Spielplan!$E$22,Spielplan!$O$27</definedName>
    <definedName name="Tore_Team_13">Spielplan!$M$6,Spielplan!$O$9,Spielplan!$M$13,Spielplan!$M$19,Spielplan!$G$25,Spielplan!$G$29</definedName>
    <definedName name="Tore_Team_14">Spielplan!$O$6,Spielplan!$M$10,Spielplan!$G$13,Spielplan!$E$24,Spielplan!$G$27,Spielplan!$M$21</definedName>
    <definedName name="Tore_Team_15">Spielplan!$E$7,Spielplan!$O$10,Spielplan!$O$15,Spielplan!$E$19,Spielplan!$G$22,Spielplan!$E$29</definedName>
  </definedNames>
  <calcPr calcId="145621"/>
</workbook>
</file>

<file path=xl/calcChain.xml><?xml version="1.0" encoding="utf-8"?>
<calcChain xmlns="http://schemas.openxmlformats.org/spreadsheetml/2006/main">
  <c r="AC23" i="7" l="1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F23" i="7"/>
  <c r="E23" i="7"/>
  <c r="G23" i="7" s="1"/>
  <c r="D23" i="7"/>
  <c r="C23" i="7"/>
  <c r="B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F22" i="7"/>
  <c r="E22" i="7"/>
  <c r="D22" i="7"/>
  <c r="C22" i="7"/>
  <c r="B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F21" i="7"/>
  <c r="E21" i="7"/>
  <c r="D21" i="7"/>
  <c r="C21" i="7"/>
  <c r="B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F20" i="7"/>
  <c r="G20" i="7" s="1"/>
  <c r="E20" i="7"/>
  <c r="D20" i="7"/>
  <c r="C20" i="7"/>
  <c r="B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F19" i="7"/>
  <c r="E19" i="7"/>
  <c r="G19" i="7" s="1"/>
  <c r="D19" i="7"/>
  <c r="C19" i="7"/>
  <c r="B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F18" i="7"/>
  <c r="E18" i="7"/>
  <c r="D18" i="7"/>
  <c r="C18" i="7"/>
  <c r="B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F17" i="7"/>
  <c r="E17" i="7"/>
  <c r="G17" i="7" s="1"/>
  <c r="D17" i="7"/>
  <c r="C17" i="7"/>
  <c r="B17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F5" i="7"/>
  <c r="E5" i="7"/>
  <c r="D5" i="7"/>
  <c r="C5" i="7"/>
  <c r="B5" i="7"/>
  <c r="AC10" i="4"/>
  <c r="AB10" i="4"/>
  <c r="Z10" i="4"/>
  <c r="Y10" i="4"/>
  <c r="W10" i="4"/>
  <c r="V10" i="4"/>
  <c r="T10" i="4"/>
  <c r="S10" i="4"/>
  <c r="R10" i="4"/>
  <c r="Q10" i="4"/>
  <c r="P10" i="4"/>
  <c r="O10" i="4"/>
  <c r="N10" i="4"/>
  <c r="M10" i="4"/>
  <c r="L10" i="4"/>
  <c r="F10" i="4"/>
  <c r="E10" i="4"/>
  <c r="AC8" i="4"/>
  <c r="AB8" i="4"/>
  <c r="Z8" i="4"/>
  <c r="Y8" i="4"/>
  <c r="W8" i="4"/>
  <c r="V8" i="4"/>
  <c r="T8" i="4"/>
  <c r="S8" i="4"/>
  <c r="R8" i="4"/>
  <c r="Q8" i="4"/>
  <c r="P8" i="4"/>
  <c r="O8" i="4"/>
  <c r="N8" i="4"/>
  <c r="M8" i="4"/>
  <c r="L8" i="4"/>
  <c r="F8" i="4"/>
  <c r="E8" i="4"/>
  <c r="AC9" i="4"/>
  <c r="AB9" i="4"/>
  <c r="Z9" i="4"/>
  <c r="Y9" i="4"/>
  <c r="W9" i="4"/>
  <c r="V9" i="4"/>
  <c r="T9" i="4"/>
  <c r="S9" i="4"/>
  <c r="R9" i="4"/>
  <c r="Q9" i="4"/>
  <c r="P9" i="4"/>
  <c r="O9" i="4"/>
  <c r="N9" i="4"/>
  <c r="M9" i="4"/>
  <c r="L9" i="4"/>
  <c r="F9" i="4"/>
  <c r="E9" i="4"/>
  <c r="AC5" i="4"/>
  <c r="AB5" i="4"/>
  <c r="Z5" i="4"/>
  <c r="Y5" i="4"/>
  <c r="W5" i="4"/>
  <c r="V5" i="4"/>
  <c r="T5" i="4"/>
  <c r="S5" i="4"/>
  <c r="R5" i="4"/>
  <c r="Q5" i="4"/>
  <c r="P5" i="4"/>
  <c r="O5" i="4"/>
  <c r="N5" i="4"/>
  <c r="M5" i="4"/>
  <c r="L5" i="4"/>
  <c r="F5" i="4"/>
  <c r="E5" i="4"/>
  <c r="AC7" i="4"/>
  <c r="AB7" i="4"/>
  <c r="Z7" i="4"/>
  <c r="Y7" i="4"/>
  <c r="W7" i="4"/>
  <c r="V7" i="4"/>
  <c r="U7" i="4"/>
  <c r="T7" i="4"/>
  <c r="S7" i="4"/>
  <c r="R7" i="4"/>
  <c r="Q7" i="4"/>
  <c r="P7" i="4"/>
  <c r="O7" i="4"/>
  <c r="N7" i="4"/>
  <c r="M7" i="4"/>
  <c r="L7" i="4"/>
  <c r="F7" i="4"/>
  <c r="E7" i="4"/>
  <c r="AC11" i="4"/>
  <c r="AB11" i="4"/>
  <c r="Z11" i="4"/>
  <c r="Y11" i="4"/>
  <c r="W11" i="4"/>
  <c r="V11" i="4"/>
  <c r="T11" i="4"/>
  <c r="S11" i="4"/>
  <c r="Q11" i="4"/>
  <c r="P11" i="4"/>
  <c r="O11" i="4"/>
  <c r="N11" i="4"/>
  <c r="M11" i="4"/>
  <c r="L11" i="4"/>
  <c r="F11" i="4"/>
  <c r="E11" i="4"/>
  <c r="AC6" i="4"/>
  <c r="AB6" i="4"/>
  <c r="Z6" i="4"/>
  <c r="Y6" i="4"/>
  <c r="W6" i="4"/>
  <c r="V6" i="4"/>
  <c r="T6" i="4"/>
  <c r="S6" i="4"/>
  <c r="Q6" i="4"/>
  <c r="P6" i="4"/>
  <c r="O6" i="4"/>
  <c r="N6" i="4"/>
  <c r="M6" i="4"/>
  <c r="L6" i="4"/>
  <c r="F6" i="4"/>
  <c r="E6" i="4"/>
  <c r="AF9" i="3"/>
  <c r="AE9" i="3"/>
  <c r="AC9" i="3"/>
  <c r="AB9" i="3"/>
  <c r="Z9" i="3"/>
  <c r="Y9" i="3"/>
  <c r="W9" i="3"/>
  <c r="V9" i="3"/>
  <c r="T9" i="3"/>
  <c r="S9" i="3"/>
  <c r="Q9" i="3"/>
  <c r="P9" i="3"/>
  <c r="N9" i="3"/>
  <c r="M9" i="3"/>
  <c r="L9" i="3"/>
  <c r="F9" i="3"/>
  <c r="E9" i="3"/>
  <c r="AF11" i="3"/>
  <c r="AE11" i="3"/>
  <c r="AC11" i="3"/>
  <c r="AB11" i="3"/>
  <c r="Z11" i="3"/>
  <c r="Y11" i="3"/>
  <c r="W11" i="3"/>
  <c r="V11" i="3"/>
  <c r="T11" i="3"/>
  <c r="S11" i="3"/>
  <c r="Q11" i="3"/>
  <c r="P11" i="3"/>
  <c r="N11" i="3"/>
  <c r="M11" i="3"/>
  <c r="L11" i="3"/>
  <c r="F11" i="3"/>
  <c r="E11" i="3"/>
  <c r="AF10" i="3"/>
  <c r="AE10" i="3"/>
  <c r="AC10" i="3"/>
  <c r="AB10" i="3"/>
  <c r="Z10" i="3"/>
  <c r="Y10" i="3"/>
  <c r="W10" i="3"/>
  <c r="V10" i="3"/>
  <c r="T10" i="3"/>
  <c r="S10" i="3"/>
  <c r="Q10" i="3"/>
  <c r="P10" i="3"/>
  <c r="N10" i="3"/>
  <c r="M10" i="3"/>
  <c r="F10" i="3"/>
  <c r="E10" i="3"/>
  <c r="AF5" i="3"/>
  <c r="AE5" i="3"/>
  <c r="AC5" i="3"/>
  <c r="AB5" i="3"/>
  <c r="Z5" i="3"/>
  <c r="Y5" i="3"/>
  <c r="W5" i="3"/>
  <c r="V5" i="3"/>
  <c r="T5" i="3"/>
  <c r="S5" i="3"/>
  <c r="Q5" i="3"/>
  <c r="P5" i="3"/>
  <c r="N5" i="3"/>
  <c r="M5" i="3"/>
  <c r="F5" i="3"/>
  <c r="E5" i="3"/>
  <c r="AF12" i="3"/>
  <c r="AE12" i="3"/>
  <c r="AC12" i="3"/>
  <c r="AB12" i="3"/>
  <c r="Z12" i="3"/>
  <c r="Y12" i="3"/>
  <c r="W12" i="3"/>
  <c r="V12" i="3"/>
  <c r="T12" i="3"/>
  <c r="S12" i="3"/>
  <c r="Q12" i="3"/>
  <c r="P12" i="3"/>
  <c r="N12" i="3"/>
  <c r="M12" i="3"/>
  <c r="F12" i="3"/>
  <c r="E12" i="3"/>
  <c r="AF7" i="3"/>
  <c r="AE7" i="3"/>
  <c r="AC7" i="3"/>
  <c r="AB7" i="3"/>
  <c r="Z7" i="3"/>
  <c r="Y7" i="3"/>
  <c r="W7" i="3"/>
  <c r="V7" i="3"/>
  <c r="T7" i="3"/>
  <c r="S7" i="3"/>
  <c r="Q7" i="3"/>
  <c r="P7" i="3"/>
  <c r="N7" i="3"/>
  <c r="M7" i="3"/>
  <c r="F7" i="3"/>
  <c r="E7" i="3"/>
  <c r="AF8" i="3"/>
  <c r="AE8" i="3"/>
  <c r="AC8" i="3"/>
  <c r="AB8" i="3"/>
  <c r="Z8" i="3"/>
  <c r="Y8" i="3"/>
  <c r="W8" i="3"/>
  <c r="V8" i="3"/>
  <c r="T8" i="3"/>
  <c r="S8" i="3"/>
  <c r="Q8" i="3"/>
  <c r="P8" i="3"/>
  <c r="N8" i="3"/>
  <c r="M8" i="3"/>
  <c r="L8" i="3"/>
  <c r="AF6" i="3"/>
  <c r="AE6" i="3"/>
  <c r="AC6" i="3"/>
  <c r="AB6" i="3"/>
  <c r="Z6" i="3"/>
  <c r="Y6" i="3"/>
  <c r="W6" i="3"/>
  <c r="V6" i="3"/>
  <c r="T6" i="3"/>
  <c r="S6" i="3"/>
  <c r="Q6" i="3"/>
  <c r="P6" i="3"/>
  <c r="N6" i="3"/>
  <c r="M6" i="3"/>
  <c r="B10" i="4"/>
  <c r="B8" i="4"/>
  <c r="B9" i="4"/>
  <c r="B5" i="4"/>
  <c r="B7" i="4"/>
  <c r="B11" i="4"/>
  <c r="B6" i="4"/>
  <c r="G18" i="7" l="1"/>
  <c r="J23" i="7"/>
  <c r="J19" i="7"/>
  <c r="J21" i="7"/>
  <c r="J17" i="7"/>
  <c r="G21" i="7"/>
  <c r="G22" i="7"/>
  <c r="H18" i="7"/>
  <c r="H20" i="7"/>
  <c r="H22" i="7"/>
  <c r="H19" i="7"/>
  <c r="K19" i="7"/>
  <c r="H21" i="7"/>
  <c r="K21" i="7"/>
  <c r="I23" i="7"/>
  <c r="I22" i="7"/>
  <c r="I17" i="7"/>
  <c r="K17" i="7"/>
  <c r="I21" i="7"/>
  <c r="H23" i="7"/>
  <c r="K23" i="7"/>
  <c r="I18" i="7"/>
  <c r="I20" i="7"/>
  <c r="J18" i="7"/>
  <c r="J20" i="7"/>
  <c r="J22" i="7"/>
  <c r="H17" i="7"/>
  <c r="I19" i="7"/>
  <c r="K18" i="7"/>
  <c r="K20" i="7"/>
  <c r="K22" i="7"/>
  <c r="H8" i="7"/>
  <c r="G12" i="7"/>
  <c r="K7" i="7"/>
  <c r="I12" i="7"/>
  <c r="J6" i="7"/>
  <c r="H5" i="7"/>
  <c r="H10" i="7"/>
  <c r="I5" i="7"/>
  <c r="H11" i="7"/>
  <c r="I11" i="7"/>
  <c r="K11" i="7"/>
  <c r="I8" i="7"/>
  <c r="H9" i="7"/>
  <c r="I9" i="7"/>
  <c r="J5" i="7"/>
  <c r="J7" i="7"/>
  <c r="J8" i="7"/>
  <c r="H12" i="7"/>
  <c r="H7" i="7"/>
  <c r="J9" i="7"/>
  <c r="G10" i="7"/>
  <c r="J10" i="7"/>
  <c r="J11" i="7"/>
  <c r="K5" i="7"/>
  <c r="I6" i="7"/>
  <c r="K8" i="7"/>
  <c r="K10" i="7"/>
  <c r="I10" i="7"/>
  <c r="G11" i="7"/>
  <c r="K9" i="7"/>
  <c r="J12" i="7"/>
  <c r="K6" i="7"/>
  <c r="I7" i="7"/>
  <c r="H6" i="7"/>
  <c r="G8" i="7"/>
  <c r="K12" i="7"/>
  <c r="K6" i="3"/>
  <c r="G9" i="7"/>
  <c r="G7" i="7"/>
  <c r="G6" i="7"/>
  <c r="G5" i="7"/>
  <c r="J8" i="4"/>
  <c r="J6" i="4"/>
  <c r="K7" i="4"/>
  <c r="K8" i="3"/>
  <c r="G6" i="4"/>
  <c r="K6" i="4"/>
  <c r="H6" i="4"/>
  <c r="K10" i="4"/>
  <c r="J10" i="4"/>
  <c r="H10" i="4"/>
  <c r="G10" i="4"/>
  <c r="K8" i="4"/>
  <c r="H8" i="4"/>
  <c r="G8" i="4"/>
  <c r="K9" i="4"/>
  <c r="J9" i="4"/>
  <c r="H9" i="4"/>
  <c r="G9" i="4"/>
  <c r="K5" i="4"/>
  <c r="J5" i="4"/>
  <c r="H5" i="4"/>
  <c r="G5" i="4"/>
  <c r="J7" i="4"/>
  <c r="G7" i="4"/>
  <c r="H7" i="4"/>
  <c r="K11" i="4"/>
  <c r="J11" i="4"/>
  <c r="G11" i="4"/>
  <c r="H11" i="4"/>
  <c r="J8" i="3"/>
  <c r="J6" i="3"/>
  <c r="J5" i="3"/>
  <c r="H11" i="3"/>
  <c r="J9" i="3"/>
  <c r="K9" i="3"/>
  <c r="H9" i="3"/>
  <c r="G9" i="3"/>
  <c r="K11" i="3"/>
  <c r="J11" i="3"/>
  <c r="G11" i="3"/>
  <c r="J10" i="3"/>
  <c r="K10" i="3"/>
  <c r="G10" i="3"/>
  <c r="H10" i="3"/>
  <c r="K5" i="3"/>
  <c r="H5" i="3"/>
  <c r="G5" i="3"/>
  <c r="J12" i="3"/>
  <c r="K12" i="3"/>
  <c r="H12" i="3"/>
  <c r="G12" i="3"/>
  <c r="J7" i="3"/>
  <c r="K7" i="3"/>
  <c r="H7" i="3"/>
  <c r="G7" i="3"/>
  <c r="P5" i="2"/>
  <c r="P6" i="2"/>
  <c r="P7" i="2"/>
  <c r="P8" i="2"/>
  <c r="O12" i="3" s="1"/>
  <c r="P9" i="2"/>
  <c r="P10" i="2"/>
  <c r="P11" i="2"/>
  <c r="O10" i="3" s="1"/>
  <c r="P12" i="2"/>
  <c r="P13" i="2"/>
  <c r="P14" i="2"/>
  <c r="U9" i="3" s="1"/>
  <c r="P15" i="2"/>
  <c r="P16" i="2"/>
  <c r="P17" i="2"/>
  <c r="X11" i="3" s="1"/>
  <c r="P18" i="2"/>
  <c r="U10" i="3" s="1"/>
  <c r="P19" i="2"/>
  <c r="P20" i="2"/>
  <c r="P21" i="2"/>
  <c r="X6" i="4" s="1"/>
  <c r="P22" i="2"/>
  <c r="X5" i="3" s="1"/>
  <c r="P23" i="2"/>
  <c r="AA8" i="3" s="1"/>
  <c r="P24" i="2"/>
  <c r="AD9" i="3" s="1"/>
  <c r="P25" i="2"/>
  <c r="AA12" i="3" s="1"/>
  <c r="P27" i="2"/>
  <c r="AA5" i="4" s="1"/>
  <c r="P28" i="2"/>
  <c r="AD8" i="3" s="1"/>
  <c r="P29" i="2"/>
  <c r="AD5" i="3" s="1"/>
  <c r="P32" i="2"/>
  <c r="P34" i="2"/>
  <c r="P36" i="2"/>
  <c r="P38" i="2"/>
  <c r="L5" i="2"/>
  <c r="L6" i="2"/>
  <c r="L7" i="2"/>
  <c r="L8" i="2"/>
  <c r="L9" i="2"/>
  <c r="L10" i="2"/>
  <c r="L11" i="2"/>
  <c r="R11" i="3" s="1"/>
  <c r="L12" i="2"/>
  <c r="L13" i="2"/>
  <c r="L14" i="2"/>
  <c r="R7" i="3" s="1"/>
  <c r="L15" i="2"/>
  <c r="L16" i="2"/>
  <c r="L17" i="2"/>
  <c r="U7" i="3" s="1"/>
  <c r="L18" i="2"/>
  <c r="X8" i="3" s="1"/>
  <c r="L19" i="2"/>
  <c r="L20" i="2"/>
  <c r="AA11" i="3" s="1"/>
  <c r="L21" i="2"/>
  <c r="L22" i="2"/>
  <c r="X12" i="3" s="1"/>
  <c r="L23" i="2"/>
  <c r="AA7" i="3" s="1"/>
  <c r="L24" i="2"/>
  <c r="L25" i="2"/>
  <c r="AA10" i="3" s="1"/>
  <c r="L27" i="2"/>
  <c r="AA11" i="4" s="1"/>
  <c r="L28" i="2"/>
  <c r="AD12" i="3" s="1"/>
  <c r="L29" i="2"/>
  <c r="L32" i="2"/>
  <c r="L34" i="2"/>
  <c r="L36" i="2"/>
  <c r="L38" i="2"/>
  <c r="H5" i="2"/>
  <c r="H6" i="2"/>
  <c r="H7" i="2"/>
  <c r="H8" i="2"/>
  <c r="H9" i="2"/>
  <c r="H10" i="2"/>
  <c r="O5" i="3" s="1"/>
  <c r="H11" i="2"/>
  <c r="R12" i="3" s="1"/>
  <c r="H12" i="2"/>
  <c r="R5" i="3" s="1"/>
  <c r="H13" i="2"/>
  <c r="H14" i="2"/>
  <c r="U6" i="3" s="1"/>
  <c r="H15" i="2"/>
  <c r="U8" i="3" s="1"/>
  <c r="H17" i="2"/>
  <c r="X9" i="3" s="1"/>
  <c r="H18" i="2"/>
  <c r="H19" i="2"/>
  <c r="U11" i="4" s="1"/>
  <c r="H20" i="2"/>
  <c r="X7" i="3" s="1"/>
  <c r="H21" i="2"/>
  <c r="X10" i="3" s="1"/>
  <c r="H22" i="2"/>
  <c r="X10" i="4" s="1"/>
  <c r="H24" i="2"/>
  <c r="X11" i="4" s="1"/>
  <c r="H25" i="2"/>
  <c r="X9" i="4" s="1"/>
  <c r="H26" i="2"/>
  <c r="AD11" i="3" s="1"/>
  <c r="H27" i="2"/>
  <c r="AA8" i="4" s="1"/>
  <c r="H28" i="2"/>
  <c r="AD7" i="3" s="1"/>
  <c r="H29" i="2"/>
  <c r="AA9" i="4" s="1"/>
  <c r="H32" i="2"/>
  <c r="H34" i="2"/>
  <c r="H36" i="2"/>
  <c r="H38" i="2"/>
  <c r="H40" i="2"/>
  <c r="H42" i="2"/>
  <c r="H44" i="2"/>
  <c r="D5" i="2"/>
  <c r="D6" i="2"/>
  <c r="D7" i="2"/>
  <c r="D8" i="2"/>
  <c r="O7" i="3" s="1"/>
  <c r="D9" i="2"/>
  <c r="D10" i="2"/>
  <c r="R9" i="3" s="1"/>
  <c r="D11" i="2"/>
  <c r="D12" i="2"/>
  <c r="R8" i="3" s="1"/>
  <c r="D13" i="2"/>
  <c r="D14" i="2"/>
  <c r="R10" i="3" s="1"/>
  <c r="D15" i="2"/>
  <c r="U11" i="3" s="1"/>
  <c r="D17" i="2"/>
  <c r="U12" i="3" s="1"/>
  <c r="D18" i="2"/>
  <c r="U6" i="4" s="1"/>
  <c r="D19" i="2"/>
  <c r="D20" i="2"/>
  <c r="U5" i="3" s="1"/>
  <c r="D21" i="2"/>
  <c r="AA9" i="3" s="1"/>
  <c r="D22" i="2"/>
  <c r="X5" i="4" s="1"/>
  <c r="D24" i="2"/>
  <c r="X8" i="4" s="1"/>
  <c r="D25" i="2"/>
  <c r="AA6" i="4" s="1"/>
  <c r="D26" i="2"/>
  <c r="AA5" i="3" s="1"/>
  <c r="D27" i="2"/>
  <c r="AA7" i="4" s="1"/>
  <c r="D28" i="2"/>
  <c r="AD10" i="3" s="1"/>
  <c r="D29" i="2"/>
  <c r="AA10" i="4" s="1"/>
  <c r="D30" i="2"/>
  <c r="D31" i="2"/>
  <c r="D32" i="2"/>
  <c r="D33" i="2"/>
  <c r="D34" i="2"/>
  <c r="D35" i="2"/>
  <c r="D36" i="2"/>
  <c r="D38" i="2"/>
  <c r="D40" i="2"/>
  <c r="D42" i="2"/>
  <c r="D43" i="2"/>
  <c r="D44" i="2"/>
  <c r="D8" i="4" l="1"/>
  <c r="U8" i="4"/>
  <c r="I8" i="4" s="1"/>
  <c r="C8" i="4"/>
  <c r="D7" i="4"/>
  <c r="X7" i="4"/>
  <c r="I7" i="4" s="1"/>
  <c r="C7" i="4"/>
  <c r="U9" i="4"/>
  <c r="I9" i="4" s="1"/>
  <c r="C9" i="4"/>
  <c r="D9" i="4"/>
  <c r="C10" i="4"/>
  <c r="D10" i="4"/>
  <c r="U10" i="4"/>
  <c r="I10" i="4" s="1"/>
  <c r="U5" i="4"/>
  <c r="I5" i="4" s="1"/>
  <c r="D5" i="4"/>
  <c r="C5" i="4"/>
  <c r="C11" i="4"/>
  <c r="R11" i="4"/>
  <c r="I11" i="4" s="1"/>
  <c r="D11" i="4"/>
  <c r="R6" i="4"/>
  <c r="I6" i="4" s="1"/>
  <c r="D6" i="4"/>
  <c r="C6" i="4"/>
  <c r="D11" i="3"/>
  <c r="C11" i="3"/>
  <c r="O11" i="3"/>
  <c r="I11" i="3" s="1"/>
  <c r="O8" i="3"/>
  <c r="I8" i="3" s="1"/>
  <c r="C8" i="3"/>
  <c r="C9" i="3"/>
  <c r="O9" i="3"/>
  <c r="I9" i="3" s="1"/>
  <c r="D9" i="3"/>
  <c r="C5" i="3"/>
  <c r="L5" i="3"/>
  <c r="I5" i="3" s="1"/>
  <c r="D5" i="3"/>
  <c r="C10" i="3"/>
  <c r="D10" i="3"/>
  <c r="L10" i="3"/>
  <c r="I10" i="3" s="1"/>
  <c r="D12" i="3"/>
  <c r="C12" i="3"/>
  <c r="L12" i="3"/>
  <c r="I12" i="3" s="1"/>
  <c r="C7" i="3"/>
  <c r="D7" i="3"/>
  <c r="L7" i="3"/>
  <c r="I7" i="3" s="1"/>
  <c r="AD6" i="3"/>
  <c r="AA6" i="3"/>
  <c r="X6" i="3"/>
  <c r="R6" i="3"/>
  <c r="O6" i="3"/>
  <c r="K16" i="2"/>
  <c r="J16" i="2"/>
  <c r="C18" i="2"/>
  <c r="B18" i="2"/>
  <c r="I4" i="2" l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4" i="2" l="1"/>
  <c r="I36" i="2" s="1"/>
  <c r="I38" i="2" s="1"/>
  <c r="I40" i="2" s="1"/>
  <c r="I42" i="2" s="1"/>
  <c r="I44" i="2" s="1"/>
  <c r="F8" i="3" l="1"/>
  <c r="E8" i="3"/>
  <c r="F6" i="3"/>
  <c r="E6" i="3"/>
  <c r="B9" i="3"/>
  <c r="B11" i="3"/>
  <c r="B10" i="3"/>
  <c r="B5" i="3"/>
  <c r="B12" i="3"/>
  <c r="B7" i="3"/>
  <c r="B8" i="3"/>
  <c r="B6" i="3"/>
  <c r="P4" i="2"/>
  <c r="L4" i="2"/>
  <c r="H4" i="2"/>
  <c r="D4" i="2"/>
  <c r="L6" i="3" l="1"/>
  <c r="I6" i="3" s="1"/>
  <c r="C6" i="3"/>
  <c r="D6" i="3"/>
  <c r="D8" i="3"/>
  <c r="H6" i="3"/>
  <c r="G8" i="3"/>
  <c r="H8" i="3"/>
  <c r="G6" i="3"/>
  <c r="K29" i="2"/>
  <c r="K28" i="2"/>
  <c r="J28" i="2"/>
  <c r="K27" i="2"/>
  <c r="J27" i="2"/>
  <c r="K25" i="2"/>
  <c r="J25" i="2"/>
  <c r="K24" i="2"/>
  <c r="K23" i="2"/>
  <c r="J23" i="2"/>
  <c r="K22" i="2"/>
  <c r="J22" i="2"/>
  <c r="K21" i="2"/>
  <c r="J20" i="2"/>
  <c r="K19" i="2"/>
  <c r="J19" i="2"/>
  <c r="K18" i="2"/>
  <c r="J18" i="2"/>
  <c r="K17" i="2"/>
  <c r="J17" i="2"/>
  <c r="K15" i="2"/>
  <c r="J15" i="2"/>
  <c r="K14" i="2"/>
  <c r="J14" i="2"/>
  <c r="K13" i="2"/>
  <c r="J13" i="2"/>
  <c r="K12" i="2"/>
  <c r="J12" i="2"/>
  <c r="K11" i="2"/>
  <c r="J11" i="2"/>
  <c r="K10" i="2"/>
  <c r="K9" i="2"/>
  <c r="J9" i="2"/>
  <c r="K8" i="2"/>
  <c r="J8" i="2"/>
  <c r="K7" i="2"/>
  <c r="J7" i="2"/>
  <c r="J6" i="2"/>
  <c r="K5" i="2"/>
  <c r="J5" i="2"/>
  <c r="K4" i="2"/>
  <c r="J4" i="2"/>
  <c r="C29" i="2"/>
  <c r="B29" i="2"/>
  <c r="C28" i="2"/>
  <c r="B28" i="2"/>
  <c r="B27" i="2"/>
  <c r="C26" i="2"/>
  <c r="B26" i="2"/>
  <c r="C25" i="2"/>
  <c r="B25" i="2"/>
  <c r="C24" i="2"/>
  <c r="C22" i="2"/>
  <c r="B22" i="2"/>
  <c r="C21" i="2"/>
  <c r="B21" i="2"/>
  <c r="C20" i="2"/>
  <c r="B20" i="2"/>
  <c r="C19" i="2"/>
  <c r="B19" i="2"/>
  <c r="C17" i="2"/>
  <c r="B17" i="2"/>
  <c r="C15" i="2"/>
  <c r="B15" i="2"/>
  <c r="B14" i="2"/>
  <c r="B13" i="2"/>
  <c r="C12" i="2"/>
  <c r="B12" i="2"/>
  <c r="C11" i="2"/>
  <c r="C10" i="2"/>
  <c r="B10" i="2"/>
  <c r="C9" i="2"/>
  <c r="B9" i="2"/>
  <c r="B8" i="2"/>
  <c r="C7" i="2"/>
  <c r="B7" i="2"/>
  <c r="C6" i="2"/>
  <c r="B6" i="2"/>
  <c r="C5" i="2"/>
  <c r="B5" i="2"/>
  <c r="C4" i="2"/>
  <c r="B24" i="2" l="1"/>
  <c r="C27" i="2"/>
  <c r="J21" i="2"/>
  <c r="C13" i="2"/>
  <c r="J10" i="2"/>
  <c r="K6" i="2"/>
  <c r="J29" i="2"/>
  <c r="J24" i="2"/>
  <c r="K20" i="2"/>
  <c r="C14" i="2"/>
  <c r="B11" i="2"/>
  <c r="C8" i="2"/>
  <c r="B4" i="2"/>
</calcChain>
</file>

<file path=xl/sharedStrings.xml><?xml version="1.0" encoding="utf-8"?>
<sst xmlns="http://schemas.openxmlformats.org/spreadsheetml/2006/main" count="306" uniqueCount="91">
  <si>
    <t>Gruppe 1</t>
  </si>
  <si>
    <t>Team</t>
  </si>
  <si>
    <t>Resultat</t>
  </si>
  <si>
    <t>Zeit</t>
  </si>
  <si>
    <t>Gruppe 2</t>
  </si>
  <si>
    <t>Um die Spiele des eigenen Teams auf dem Spielplan zu markieren, 
bitte in B15 den gewünschten Team-Namen so wie er oben in der Liste steht eintragen.</t>
  </si>
  <si>
    <t>Final</t>
  </si>
  <si>
    <t>:</t>
  </si>
  <si>
    <t>P</t>
  </si>
  <si>
    <t>Mannschaft</t>
  </si>
  <si>
    <t>Rang</t>
  </si>
  <si>
    <t>Spiele</t>
  </si>
  <si>
    <t>Punkte</t>
  </si>
  <si>
    <t xml:space="preserve"> + Tore</t>
  </si>
  <si>
    <t xml:space="preserve"> - Tore</t>
  </si>
  <si>
    <t>Tordiff.</t>
  </si>
  <si>
    <t>Torverh.</t>
  </si>
  <si>
    <t>Spiel 1</t>
  </si>
  <si>
    <t xml:space="preserve"> + T</t>
  </si>
  <si>
    <t xml:space="preserve"> - T</t>
  </si>
  <si>
    <t>Spiel 2</t>
  </si>
  <si>
    <t>Spiel 3</t>
  </si>
  <si>
    <t>Spiel 4</t>
  </si>
  <si>
    <t>Spiel 5</t>
  </si>
  <si>
    <t>Spiel 6</t>
  </si>
  <si>
    <t>Spiel 7</t>
  </si>
  <si>
    <t>Halle A</t>
  </si>
  <si>
    <t>Halle B</t>
  </si>
  <si>
    <t>19. internationales Jugendtorballturnier 
Zollikofen
17. Mai 2014</t>
  </si>
  <si>
    <t>Teilnehmende Teams 2014</t>
  </si>
  <si>
    <t>Hallenöffnung</t>
  </si>
  <si>
    <t>Teamleitersitzung und
Helfereinführung</t>
  </si>
  <si>
    <t>Schiedsrichtersitzung</t>
  </si>
  <si>
    <t>Spielbeginn</t>
  </si>
  <si>
    <t>Spielrythmus (Minuten)</t>
  </si>
  <si>
    <t>Game for 13th and 14th place</t>
  </si>
  <si>
    <t>Game for 11th and 12th place</t>
  </si>
  <si>
    <t xml:space="preserve"> semi final 1</t>
  </si>
  <si>
    <t xml:space="preserve"> semi final 2</t>
  </si>
  <si>
    <t>quarter final 1</t>
  </si>
  <si>
    <t>quarter final 3</t>
  </si>
  <si>
    <t>quarter final 2</t>
  </si>
  <si>
    <t>quarter final 4</t>
  </si>
  <si>
    <t>Game for 9th and 10th place</t>
  </si>
  <si>
    <t>small final</t>
  </si>
  <si>
    <t>Tirol</t>
  </si>
  <si>
    <t>Zürich 3</t>
  </si>
  <si>
    <t>Zürich 2</t>
  </si>
  <si>
    <t>Zürich 1</t>
  </si>
  <si>
    <t>Zollikofen 1</t>
  </si>
  <si>
    <t>Zollikofen 2</t>
  </si>
  <si>
    <t>Baar 2</t>
  </si>
  <si>
    <t>Baar 1</t>
  </si>
  <si>
    <t>VDSE Budapest</t>
  </si>
  <si>
    <t>ANICES</t>
  </si>
  <si>
    <t>CŠT ZPM - LEVOČA</t>
  </si>
  <si>
    <t>TB Glarus 11</t>
  </si>
  <si>
    <t>VBSC Vorarlberg Jugend</t>
  </si>
  <si>
    <t>LSDV - CLUJ, ROMANIA</t>
  </si>
  <si>
    <t>Baar 3</t>
  </si>
  <si>
    <t>Total</t>
  </si>
  <si>
    <t xml:space="preserve"> +T</t>
  </si>
  <si>
    <t xml:space="preserve"> -T</t>
  </si>
  <si>
    <t>xxx</t>
  </si>
  <si>
    <t>19. internationales Jugendtorballturnier 
Zollikofen 17. Mai 2014
Qualifikation Gruppe 2</t>
  </si>
  <si>
    <t>19. internationales Jugendtorballturnier 
Zollikofen 17. Mai 2014
Qualifikation Gruppe 1</t>
  </si>
  <si>
    <t>Baar 1 (4. Group 2)</t>
  </si>
  <si>
    <t>TB Glarus 11 (1. Group 2)</t>
  </si>
  <si>
    <t>Zürich 2 (2. Group 2)</t>
  </si>
  <si>
    <t>Zollikofen 2 (6. Group 2)</t>
  </si>
  <si>
    <t>VDSE Budapest  (7. Group 2)</t>
  </si>
  <si>
    <t>LSDV - Cluj, (3. Group 2)</t>
  </si>
  <si>
    <t>Zürich 1 (1. Group 1)</t>
  </si>
  <si>
    <t>VBSC Vorarlberg (4. Group 1)</t>
  </si>
  <si>
    <t>CŠT ZPM - LEVOČA (3. Group 1)</t>
  </si>
  <si>
    <t>Tirol (2. Group 1)</t>
  </si>
  <si>
    <t>ANICES  (7. Group 1)</t>
  </si>
  <si>
    <t>Baar 2 (6. Group 1)</t>
  </si>
  <si>
    <t>Zürich 1 (winner quarter final 1)</t>
  </si>
  <si>
    <t>Tirol (winner quarter final 3)</t>
  </si>
  <si>
    <t>Zürich 2 (winner quarter 4)</t>
  </si>
  <si>
    <t>TB Glarus 11 (winner quarter final 2)</t>
  </si>
  <si>
    <t>Zollikofen 1 (5. Group 1)</t>
  </si>
  <si>
    <t>Baar 3 (5. Group 2)</t>
  </si>
  <si>
    <t>Zürich 1 (winner semi final 1)</t>
  </si>
  <si>
    <t>Zürich 2 (loser semi final 1)</t>
  </si>
  <si>
    <t>Tirol (winner semi final 2)</t>
  </si>
  <si>
    <t>TB Glarus 11 (loser semi final 2)</t>
  </si>
  <si>
    <t>19. internationales Jugendtorballturnier 
Zollikofen 17. Mai 2014
Nach Qualifikation Gruppe 1</t>
  </si>
  <si>
    <t>Nach Qualifikation Gruppe 2</t>
  </si>
  <si>
    <t>19. internationales Jugendtorballturnier 
Zollikofen 17. Mai 2014
Gesamtrangliste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</si>
</sst>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20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Fill="1" applyBorder="1" applyAlignment="1"/>
    <xf numFmtId="0" fontId="0" fillId="0" borderId="0" xfId="0" applyFont="1"/>
    <xf numFmtId="0" fontId="4" fillId="0" borderId="0" xfId="0" applyFont="1"/>
    <xf numFmtId="0" fontId="1" fillId="2" borderId="0" xfId="0" applyFont="1" applyFill="1"/>
    <xf numFmtId="0" fontId="0" fillId="4" borderId="0" xfId="0" applyFill="1"/>
    <xf numFmtId="0" fontId="0" fillId="0" borderId="0" xfId="0" applyFill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0" xfId="0" applyFont="1"/>
    <xf numFmtId="0" fontId="5" fillId="4" borderId="0" xfId="0" applyFont="1" applyFill="1"/>
    <xf numFmtId="0" fontId="6" fillId="0" borderId="0" xfId="0" applyFont="1" applyAlignment="1">
      <alignment horizontal="center"/>
    </xf>
    <xf numFmtId="20" fontId="5" fillId="0" borderId="0" xfId="0" applyNumberFormat="1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6" fillId="0" borderId="0" xfId="0" applyFont="1" applyAlignment="1">
      <alignment horizontal="center"/>
    </xf>
    <xf numFmtId="0" fontId="0" fillId="2" borderId="0" xfId="0" applyFill="1"/>
    <xf numFmtId="0" fontId="6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4" xfId="0" applyBorder="1" applyAlignment="1">
      <alignment wrapText="1"/>
    </xf>
    <xf numFmtId="0" fontId="2" fillId="3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Alignment="1"/>
  </cellXfs>
  <cellStyles count="1">
    <cellStyle name="Standard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6</xdr:col>
      <xdr:colOff>971550</xdr:colOff>
      <xdr:row>4</xdr:row>
      <xdr:rowOff>38100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0"/>
          <a:ext cx="742950" cy="809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1171575</xdr:colOff>
          <xdr:row>0</xdr:row>
          <xdr:rowOff>0</xdr:rowOff>
        </xdr:from>
        <xdr:to>
          <xdr:col>5</xdr:col>
          <xdr:colOff>981075</xdr:colOff>
          <xdr:row>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0</xdr:row>
          <xdr:rowOff>0</xdr:rowOff>
        </xdr:from>
        <xdr:to>
          <xdr:col>1</xdr:col>
          <xdr:colOff>1276350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14</xdr:col>
      <xdr:colOff>95250</xdr:colOff>
      <xdr:row>1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0"/>
          <a:ext cx="742950" cy="809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923925</xdr:colOff>
          <xdr:row>1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190500</xdr:colOff>
      <xdr:row>0</xdr:row>
      <xdr:rowOff>0</xdr:rowOff>
    </xdr:from>
    <xdr:to>
      <xdr:col>28</xdr:col>
      <xdr:colOff>285750</xdr:colOff>
      <xdr:row>1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74295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923925</xdr:colOff>
          <xdr:row>1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29</xdr:col>
      <xdr:colOff>85725</xdr:colOff>
      <xdr:row>0</xdr:row>
      <xdr:rowOff>0</xdr:rowOff>
    </xdr:from>
    <xdr:to>
      <xdr:col>31</xdr:col>
      <xdr:colOff>257175</xdr:colOff>
      <xdr:row>1</xdr:row>
      <xdr:rowOff>19050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0"/>
          <a:ext cx="74295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923925</xdr:colOff>
          <xdr:row>1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29</xdr:col>
      <xdr:colOff>85725</xdr:colOff>
      <xdr:row>0</xdr:row>
      <xdr:rowOff>0</xdr:rowOff>
    </xdr:from>
    <xdr:to>
      <xdr:col>31</xdr:col>
      <xdr:colOff>257175</xdr:colOff>
      <xdr:row>1</xdr:row>
      <xdr:rowOff>19050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0"/>
          <a:ext cx="74295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0</xdr:rowOff>
        </xdr:from>
        <xdr:to>
          <xdr:col>1</xdr:col>
          <xdr:colOff>923925</xdr:colOff>
          <xdr:row>30</xdr:row>
          <xdr:rowOff>152400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29</xdr:col>
      <xdr:colOff>85725</xdr:colOff>
      <xdr:row>29</xdr:row>
      <xdr:rowOff>0</xdr:rowOff>
    </xdr:from>
    <xdr:to>
      <xdr:col>31</xdr:col>
      <xdr:colOff>257175</xdr:colOff>
      <xdr:row>30</xdr:row>
      <xdr:rowOff>19050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0"/>
          <a:ext cx="74295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workbookViewId="0">
      <selection activeCell="E6" sqref="E6"/>
    </sheetView>
  </sheetViews>
  <sheetFormatPr baseColWidth="10" defaultColWidth="11.5546875" defaultRowHeight="15" x14ac:dyDescent="0.2"/>
  <cols>
    <col min="1" max="1" width="3.77734375" customWidth="1"/>
    <col min="2" max="2" width="16.77734375" customWidth="1"/>
    <col min="3" max="3" width="1.77734375" customWidth="1"/>
    <col min="4" max="4" width="3.77734375" customWidth="1"/>
    <col min="5" max="5" width="16.77734375" customWidth="1"/>
  </cols>
  <sheetData>
    <row r="1" spans="1:9" ht="20.25" x14ac:dyDescent="0.3">
      <c r="A1" s="6" t="s">
        <v>29</v>
      </c>
    </row>
    <row r="3" spans="1:9" ht="15.75" x14ac:dyDescent="0.25">
      <c r="A3" s="3" t="s">
        <v>0</v>
      </c>
      <c r="D3" s="3" t="s">
        <v>4</v>
      </c>
    </row>
    <row r="5" spans="1:9" x14ac:dyDescent="0.2">
      <c r="A5">
        <v>1</v>
      </c>
      <c r="B5" t="s">
        <v>45</v>
      </c>
      <c r="D5">
        <v>9</v>
      </c>
      <c r="E5" t="s">
        <v>47</v>
      </c>
    </row>
    <row r="6" spans="1:9" x14ac:dyDescent="0.2">
      <c r="A6">
        <v>2</v>
      </c>
      <c r="B6" t="s">
        <v>57</v>
      </c>
      <c r="D6">
        <v>10</v>
      </c>
      <c r="E6" t="s">
        <v>53</v>
      </c>
    </row>
    <row r="7" spans="1:9" x14ac:dyDescent="0.2">
      <c r="A7">
        <v>3</v>
      </c>
      <c r="B7" t="s">
        <v>55</v>
      </c>
      <c r="D7">
        <v>11</v>
      </c>
      <c r="E7" t="s">
        <v>58</v>
      </c>
    </row>
    <row r="8" spans="1:9" x14ac:dyDescent="0.2">
      <c r="A8">
        <v>4</v>
      </c>
      <c r="B8" t="s">
        <v>46</v>
      </c>
      <c r="D8">
        <v>12</v>
      </c>
      <c r="E8" t="s">
        <v>56</v>
      </c>
    </row>
    <row r="9" spans="1:9" x14ac:dyDescent="0.2">
      <c r="A9">
        <v>5</v>
      </c>
      <c r="B9" t="s">
        <v>48</v>
      </c>
      <c r="D9">
        <v>13</v>
      </c>
      <c r="E9" t="s">
        <v>59</v>
      </c>
    </row>
    <row r="10" spans="1:9" x14ac:dyDescent="0.2">
      <c r="A10">
        <v>6</v>
      </c>
      <c r="B10" t="s">
        <v>51</v>
      </c>
      <c r="D10">
        <v>14</v>
      </c>
      <c r="E10" t="s">
        <v>52</v>
      </c>
    </row>
    <row r="11" spans="1:9" x14ac:dyDescent="0.2">
      <c r="A11">
        <v>7</v>
      </c>
      <c r="B11" t="s">
        <v>54</v>
      </c>
      <c r="D11">
        <v>15</v>
      </c>
      <c r="E11" t="s">
        <v>50</v>
      </c>
    </row>
    <row r="12" spans="1:9" x14ac:dyDescent="0.2">
      <c r="A12">
        <v>8</v>
      </c>
      <c r="B12" t="s">
        <v>49</v>
      </c>
    </row>
    <row r="14" spans="1:9" ht="29.25" customHeight="1" thickBot="1" x14ac:dyDescent="0.25">
      <c r="B14" s="27" t="s">
        <v>5</v>
      </c>
      <c r="C14" s="27"/>
      <c r="D14" s="27"/>
      <c r="E14" s="27"/>
      <c r="F14" s="27"/>
      <c r="G14" s="27"/>
      <c r="H14" s="2"/>
      <c r="I14" s="2"/>
    </row>
    <row r="15" spans="1:9" ht="19.5" thickTop="1" thickBot="1" x14ac:dyDescent="0.3">
      <c r="B15" s="28" t="s">
        <v>63</v>
      </c>
      <c r="C15" s="29"/>
      <c r="D15" s="29"/>
      <c r="E15" s="29"/>
      <c r="F15" s="29"/>
      <c r="G15" s="30"/>
      <c r="H15" s="4"/>
      <c r="I15" s="4"/>
    </row>
    <row r="16" spans="1:9" ht="15.75" thickTop="1" x14ac:dyDescent="0.2"/>
    <row r="18" spans="2:5" x14ac:dyDescent="0.2">
      <c r="B18" s="26" t="s">
        <v>30</v>
      </c>
      <c r="C18" s="26"/>
      <c r="D18" s="26"/>
      <c r="E18" s="1">
        <v>0.33333333333333331</v>
      </c>
    </row>
    <row r="19" spans="2:5" ht="30" customHeight="1" x14ac:dyDescent="0.2">
      <c r="B19" s="31" t="s">
        <v>31</v>
      </c>
      <c r="C19" s="26"/>
      <c r="D19" s="26"/>
      <c r="E19" s="1">
        <v>0.35416666666666669</v>
      </c>
    </row>
    <row r="20" spans="2:5" x14ac:dyDescent="0.2">
      <c r="B20" s="26" t="s">
        <v>32</v>
      </c>
      <c r="C20" s="26"/>
      <c r="D20" s="26"/>
      <c r="E20" s="1">
        <v>0.36458333333333331</v>
      </c>
    </row>
    <row r="21" spans="2:5" x14ac:dyDescent="0.2">
      <c r="B21" s="26" t="s">
        <v>33</v>
      </c>
      <c r="C21" s="26"/>
      <c r="D21" s="26"/>
      <c r="E21" s="1">
        <v>0.375</v>
      </c>
    </row>
    <row r="22" spans="2:5" x14ac:dyDescent="0.2">
      <c r="B22" t="s">
        <v>34</v>
      </c>
      <c r="E22" s="1">
        <v>1.0416666666666666E-2</v>
      </c>
    </row>
  </sheetData>
  <mergeCells count="6">
    <mergeCell ref="B21:D21"/>
    <mergeCell ref="B14:G14"/>
    <mergeCell ref="B15:G15"/>
    <mergeCell ref="B18:D18"/>
    <mergeCell ref="B19:D19"/>
    <mergeCell ref="B20:D20"/>
  </mergeCells>
  <pageMargins left="1.1811023622047245" right="0.59055118110236227" top="0.98425196850393704" bottom="0.78740157480314965" header="0.31496062992125984" footer="0.31496062992125984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hotoDeluxeBusiness.Image.1" shapeId="1025" r:id="rId4">
          <objectPr defaultSize="0" autoPict="0" r:id="rId5">
            <anchor moveWithCells="1" sizeWithCells="1">
              <from>
                <xdr:col>4</xdr:col>
                <xdr:colOff>1171575</xdr:colOff>
                <xdr:row>0</xdr:row>
                <xdr:rowOff>0</xdr:rowOff>
              </from>
              <to>
                <xdr:col>5</xdr:col>
                <xdr:colOff>981075</xdr:colOff>
                <xdr:row>4</xdr:row>
                <xdr:rowOff>76200</xdr:rowOff>
              </to>
            </anchor>
          </objectPr>
        </oleObject>
      </mc:Choice>
      <mc:Fallback>
        <oleObject progId="PhotoDeluxeBusiness.Image.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53"/>
  <sheetViews>
    <sheetView tabSelected="1" workbookViewId="0">
      <selection activeCell="G6" sqref="G6"/>
    </sheetView>
  </sheetViews>
  <sheetFormatPr baseColWidth="10" defaultColWidth="11.5546875" defaultRowHeight="15" x14ac:dyDescent="0.2"/>
  <cols>
    <col min="1" max="1" width="3.77734375" customWidth="1"/>
    <col min="2" max="3" width="16.77734375" customWidth="1"/>
    <col min="4" max="4" width="2.77734375" hidden="1" customWidth="1"/>
    <col min="5" max="5" width="5.77734375" customWidth="1"/>
    <col min="6" max="6" width="1.77734375" customWidth="1"/>
    <col min="7" max="7" width="5.77734375" customWidth="1"/>
    <col min="8" max="8" width="2.77734375" hidden="1" customWidth="1"/>
    <col min="9" max="9" width="5.77734375" customWidth="1"/>
    <col min="10" max="11" width="16.77734375" customWidth="1"/>
    <col min="12" max="12" width="2.77734375" hidden="1" customWidth="1"/>
    <col min="13" max="13" width="5.77734375" customWidth="1"/>
    <col min="14" max="14" width="1.77734375" customWidth="1"/>
    <col min="15" max="15" width="5.77734375" customWidth="1"/>
    <col min="16" max="16" width="2.77734375" hidden="1" customWidth="1"/>
  </cols>
  <sheetData>
    <row r="1" spans="2:16" ht="61.5" customHeight="1" x14ac:dyDescent="0.2">
      <c r="C1" s="32" t="s">
        <v>28</v>
      </c>
      <c r="D1" s="33"/>
      <c r="E1" s="33"/>
      <c r="F1" s="33"/>
      <c r="G1" s="33"/>
      <c r="H1" s="33"/>
      <c r="I1" s="33"/>
      <c r="J1" s="33"/>
      <c r="K1" s="26"/>
    </row>
    <row r="2" spans="2:16" ht="15.75" x14ac:dyDescent="0.25">
      <c r="B2" s="36" t="s">
        <v>26</v>
      </c>
      <c r="C2" s="36"/>
      <c r="J2" s="36" t="s">
        <v>27</v>
      </c>
      <c r="K2" s="36"/>
    </row>
    <row r="3" spans="2:16" ht="15.75" x14ac:dyDescent="0.25">
      <c r="B3" s="7" t="s">
        <v>1</v>
      </c>
      <c r="C3" s="7" t="s">
        <v>1</v>
      </c>
      <c r="D3" s="7" t="s">
        <v>8</v>
      </c>
      <c r="E3" s="7" t="s">
        <v>2</v>
      </c>
      <c r="F3" s="7"/>
      <c r="G3" s="7"/>
      <c r="H3" s="7" t="s">
        <v>8</v>
      </c>
      <c r="I3" s="7" t="s">
        <v>3</v>
      </c>
      <c r="J3" s="7" t="s">
        <v>1</v>
      </c>
      <c r="K3" s="7" t="s">
        <v>1</v>
      </c>
      <c r="L3" s="7" t="s">
        <v>8</v>
      </c>
      <c r="M3" s="7" t="s">
        <v>2</v>
      </c>
      <c r="N3" s="7"/>
      <c r="O3" s="7"/>
      <c r="P3" s="7" t="s">
        <v>8</v>
      </c>
    </row>
    <row r="4" spans="2:16" x14ac:dyDescent="0.2">
      <c r="B4" s="13" t="str">
        <f>Team_01</f>
        <v>Tirol</v>
      </c>
      <c r="C4" s="13" t="str">
        <f>Team_02</f>
        <v>VBSC Vorarlberg Jugend</v>
      </c>
      <c r="D4" s="14">
        <f>IF(E4="","",IF(E4&gt;G4,2,IF(E4=G4,1,0)))</f>
        <v>2</v>
      </c>
      <c r="E4" s="13">
        <v>5</v>
      </c>
      <c r="F4" s="15" t="s">
        <v>7</v>
      </c>
      <c r="G4" s="13">
        <v>0</v>
      </c>
      <c r="H4" s="14">
        <f>IF(G4="","",IF(G4&gt;E4,2,IF(G4=E4,1,0)))</f>
        <v>0</v>
      </c>
      <c r="I4" s="16">
        <f>Spielbeginn</f>
        <v>0.375</v>
      </c>
      <c r="J4" s="13" t="str">
        <f>Team_08</f>
        <v>Zollikofen 1</v>
      </c>
      <c r="K4" s="13" t="str">
        <f>Team_07</f>
        <v>ANICES</v>
      </c>
      <c r="L4" s="14">
        <f>IF(M4="","",IF(M4&gt;O4,2,IF(M4=O4,1,0)))</f>
        <v>1</v>
      </c>
      <c r="M4" s="13">
        <v>2</v>
      </c>
      <c r="N4" s="15" t="s">
        <v>7</v>
      </c>
      <c r="O4" s="13">
        <v>2</v>
      </c>
      <c r="P4" s="8">
        <f>IF(O4="","",IF(O4&gt;M4,2,IF(O4=M4,1,0)))</f>
        <v>1</v>
      </c>
    </row>
    <row r="5" spans="2:16" x14ac:dyDescent="0.2">
      <c r="B5" s="13" t="str">
        <f>Team_11</f>
        <v>LSDV - CLUJ, ROMANIA</v>
      </c>
      <c r="C5" s="13" t="str">
        <f>Team_12</f>
        <v>TB Glarus 11</v>
      </c>
      <c r="D5" s="14">
        <f t="shared" ref="D5:D44" si="0">IF(E5="","",IF(E5&gt;G5,2,IF(E5=G5,1,0)))</f>
        <v>0</v>
      </c>
      <c r="E5" s="13">
        <v>3</v>
      </c>
      <c r="F5" s="15" t="s">
        <v>7</v>
      </c>
      <c r="G5" s="13">
        <v>5</v>
      </c>
      <c r="H5" s="14">
        <f t="shared" ref="H5:H44" si="1">IF(G5="","",IF(G5&gt;E5,2,IF(G5=E5,1,0)))</f>
        <v>2</v>
      </c>
      <c r="I5" s="16">
        <f t="shared" ref="I5:I32" si="2">I4+Spielzeit</f>
        <v>0.38541666666666669</v>
      </c>
      <c r="J5" s="13" t="str">
        <f>Team_04</f>
        <v>Zürich 3</v>
      </c>
      <c r="K5" s="13" t="str">
        <f>Team_03</f>
        <v>CŠT ZPM - LEVOČA</v>
      </c>
      <c r="L5" s="14">
        <f t="shared" ref="L5:L38" si="3">IF(M5="","",IF(M5&gt;O5,2,IF(M5=O5,1,0)))</f>
        <v>2</v>
      </c>
      <c r="M5" s="13">
        <v>4</v>
      </c>
      <c r="N5" s="15" t="s">
        <v>7</v>
      </c>
      <c r="O5" s="13">
        <v>2</v>
      </c>
      <c r="P5" s="8">
        <f t="shared" ref="P5:P38" si="4">IF(O5="","",IF(O5&gt;M5,2,IF(O5=M5,1,0)))</f>
        <v>0</v>
      </c>
    </row>
    <row r="6" spans="2:16" x14ac:dyDescent="0.2">
      <c r="B6" s="13" t="str">
        <f>Team_05</f>
        <v>Zürich 1</v>
      </c>
      <c r="C6" s="13" t="str">
        <f>Team_06</f>
        <v>Baar 2</v>
      </c>
      <c r="D6" s="14">
        <f t="shared" si="0"/>
        <v>2</v>
      </c>
      <c r="E6" s="13">
        <v>9</v>
      </c>
      <c r="F6" s="15" t="s">
        <v>7</v>
      </c>
      <c r="G6" s="13">
        <v>1</v>
      </c>
      <c r="H6" s="14">
        <f t="shared" si="1"/>
        <v>0</v>
      </c>
      <c r="I6" s="16">
        <f t="shared" si="2"/>
        <v>0.39583333333333337</v>
      </c>
      <c r="J6" s="13" t="str">
        <f>Team_13</f>
        <v>Baar 3</v>
      </c>
      <c r="K6" s="13" t="str">
        <f>Team_14</f>
        <v>Baar 1</v>
      </c>
      <c r="L6" s="14">
        <f t="shared" si="3"/>
        <v>0</v>
      </c>
      <c r="M6" s="13">
        <v>1</v>
      </c>
      <c r="N6" s="15" t="s">
        <v>7</v>
      </c>
      <c r="O6" s="13">
        <v>11</v>
      </c>
      <c r="P6" s="8">
        <f t="shared" si="4"/>
        <v>2</v>
      </c>
    </row>
    <row r="7" spans="2:16" x14ac:dyDescent="0.2">
      <c r="B7" s="13" t="str">
        <f>Team_15</f>
        <v>Zollikofen 2</v>
      </c>
      <c r="C7" s="13" t="str">
        <f>Team_09</f>
        <v>Zürich 2</v>
      </c>
      <c r="D7" s="14">
        <f t="shared" si="0"/>
        <v>0</v>
      </c>
      <c r="E7" s="13">
        <v>3</v>
      </c>
      <c r="F7" s="15" t="s">
        <v>7</v>
      </c>
      <c r="G7" s="13">
        <v>6</v>
      </c>
      <c r="H7" s="14">
        <f t="shared" si="1"/>
        <v>2</v>
      </c>
      <c r="I7" s="16">
        <f t="shared" si="2"/>
        <v>0.40625000000000006</v>
      </c>
      <c r="J7" s="13" t="str">
        <f>Team_02</f>
        <v>VBSC Vorarlberg Jugend</v>
      </c>
      <c r="K7" s="13" t="str">
        <f>Team_08</f>
        <v>Zollikofen 1</v>
      </c>
      <c r="L7" s="14">
        <f t="shared" si="3"/>
        <v>2</v>
      </c>
      <c r="M7" s="13">
        <v>6</v>
      </c>
      <c r="N7" s="15" t="s">
        <v>7</v>
      </c>
      <c r="O7" s="13">
        <v>4</v>
      </c>
      <c r="P7" s="8">
        <f t="shared" si="4"/>
        <v>0</v>
      </c>
    </row>
    <row r="8" spans="2:16" x14ac:dyDescent="0.2">
      <c r="B8" s="13" t="str">
        <f>Team_03</f>
        <v>CŠT ZPM - LEVOČA</v>
      </c>
      <c r="C8" s="13" t="str">
        <f>Team_01</f>
        <v>Tirol</v>
      </c>
      <c r="D8" s="14">
        <f t="shared" si="0"/>
        <v>0</v>
      </c>
      <c r="E8" s="13">
        <v>3</v>
      </c>
      <c r="F8" s="15" t="s">
        <v>7</v>
      </c>
      <c r="G8" s="13">
        <v>6</v>
      </c>
      <c r="H8" s="14">
        <f t="shared" si="1"/>
        <v>2</v>
      </c>
      <c r="I8" s="16">
        <f t="shared" si="2"/>
        <v>0.41666666666666674</v>
      </c>
      <c r="J8" s="13" t="str">
        <f>Team_07</f>
        <v>ANICES</v>
      </c>
      <c r="K8" s="13" t="str">
        <f>Team_04</f>
        <v>Zürich 3</v>
      </c>
      <c r="L8" s="14">
        <f t="shared" si="3"/>
        <v>2</v>
      </c>
      <c r="M8" s="13">
        <v>5</v>
      </c>
      <c r="N8" s="15" t="s">
        <v>7</v>
      </c>
      <c r="O8" s="13">
        <v>4</v>
      </c>
      <c r="P8" s="8">
        <f t="shared" si="4"/>
        <v>0</v>
      </c>
    </row>
    <row r="9" spans="2:16" x14ac:dyDescent="0.2">
      <c r="B9" s="13" t="str">
        <f>Team_10</f>
        <v>VDSE Budapest</v>
      </c>
      <c r="C9" s="13" t="str">
        <f>Team_11</f>
        <v>LSDV - CLUJ, ROMANIA</v>
      </c>
      <c r="D9" s="14">
        <f t="shared" si="0"/>
        <v>0</v>
      </c>
      <c r="E9" s="13">
        <v>3</v>
      </c>
      <c r="F9" s="15" t="s">
        <v>7</v>
      </c>
      <c r="G9" s="13">
        <v>5</v>
      </c>
      <c r="H9" s="14">
        <f t="shared" si="1"/>
        <v>2</v>
      </c>
      <c r="I9" s="16">
        <f t="shared" si="2"/>
        <v>0.42708333333333343</v>
      </c>
      <c r="J9" s="13" t="str">
        <f>Team_12</f>
        <v>TB Glarus 11</v>
      </c>
      <c r="K9" s="13" t="str">
        <f>Team_13</f>
        <v>Baar 3</v>
      </c>
      <c r="L9" s="14">
        <f t="shared" si="3"/>
        <v>2</v>
      </c>
      <c r="M9" s="13">
        <v>9</v>
      </c>
      <c r="N9" s="15" t="s">
        <v>7</v>
      </c>
      <c r="O9" s="13">
        <v>4</v>
      </c>
      <c r="P9" s="8">
        <f t="shared" si="4"/>
        <v>0</v>
      </c>
    </row>
    <row r="10" spans="2:16" x14ac:dyDescent="0.2">
      <c r="B10" s="13" t="str">
        <f>Team_08</f>
        <v>Zollikofen 1</v>
      </c>
      <c r="C10" s="13" t="str">
        <f>Team_05</f>
        <v>Zürich 1</v>
      </c>
      <c r="D10" s="14">
        <f t="shared" si="0"/>
        <v>0</v>
      </c>
      <c r="E10" s="13">
        <v>1</v>
      </c>
      <c r="F10" s="15" t="s">
        <v>7</v>
      </c>
      <c r="G10" s="13">
        <v>8</v>
      </c>
      <c r="H10" s="14">
        <f t="shared" si="1"/>
        <v>2</v>
      </c>
      <c r="I10" s="16">
        <f t="shared" si="2"/>
        <v>0.43750000000000011</v>
      </c>
      <c r="J10" s="13" t="str">
        <f>Team_14</f>
        <v>Baar 1</v>
      </c>
      <c r="K10" s="13" t="str">
        <f>Team_15</f>
        <v>Zollikofen 2</v>
      </c>
      <c r="L10" s="14">
        <f t="shared" si="3"/>
        <v>2</v>
      </c>
      <c r="M10" s="13">
        <v>8</v>
      </c>
      <c r="N10" s="15" t="s">
        <v>7</v>
      </c>
      <c r="O10" s="13">
        <v>1</v>
      </c>
      <c r="P10" s="8">
        <f t="shared" si="4"/>
        <v>0</v>
      </c>
    </row>
    <row r="11" spans="2:16" x14ac:dyDescent="0.2">
      <c r="B11" s="13" t="str">
        <f>Team_01</f>
        <v>Tirol</v>
      </c>
      <c r="C11" s="13" t="str">
        <f>Team_04</f>
        <v>Zürich 3</v>
      </c>
      <c r="D11" s="14">
        <f t="shared" si="0"/>
        <v>2</v>
      </c>
      <c r="E11" s="13">
        <v>6</v>
      </c>
      <c r="F11" s="21" t="s">
        <v>7</v>
      </c>
      <c r="G11" s="13">
        <v>0</v>
      </c>
      <c r="H11" s="14">
        <f t="shared" si="1"/>
        <v>0</v>
      </c>
      <c r="I11" s="16">
        <f t="shared" si="2"/>
        <v>0.4479166666666668</v>
      </c>
      <c r="J11" s="13" t="str">
        <f>Team_07</f>
        <v>ANICES</v>
      </c>
      <c r="K11" s="13" t="str">
        <f>Team_06</f>
        <v>Baar 2</v>
      </c>
      <c r="L11" s="14">
        <f t="shared" si="3"/>
        <v>0</v>
      </c>
      <c r="M11" s="13">
        <v>0</v>
      </c>
      <c r="N11" s="15" t="s">
        <v>7</v>
      </c>
      <c r="O11" s="13">
        <v>5</v>
      </c>
      <c r="P11" s="8">
        <f t="shared" si="4"/>
        <v>2</v>
      </c>
    </row>
    <row r="12" spans="2:16" x14ac:dyDescent="0.2">
      <c r="B12" s="13" t="str">
        <f>Team_02</f>
        <v>VBSC Vorarlberg Jugend</v>
      </c>
      <c r="C12" s="13" t="str">
        <f>Team_05</f>
        <v>Zürich 1</v>
      </c>
      <c r="D12" s="14">
        <f t="shared" si="0"/>
        <v>0</v>
      </c>
      <c r="E12" s="17">
        <v>2</v>
      </c>
      <c r="F12" s="21" t="s">
        <v>7</v>
      </c>
      <c r="G12" s="17">
        <v>3</v>
      </c>
      <c r="H12" s="14">
        <f t="shared" si="1"/>
        <v>2</v>
      </c>
      <c r="I12" s="16">
        <f t="shared" si="2"/>
        <v>0.45833333333333348</v>
      </c>
      <c r="J12" s="13" t="str">
        <f>Team_09</f>
        <v>Zürich 2</v>
      </c>
      <c r="K12" s="13" t="str">
        <f>Team_11</f>
        <v>LSDV - CLUJ, ROMANIA</v>
      </c>
      <c r="L12" s="14">
        <f t="shared" si="3"/>
        <v>2</v>
      </c>
      <c r="M12" s="13">
        <v>4</v>
      </c>
      <c r="N12" s="15" t="s">
        <v>7</v>
      </c>
      <c r="O12" s="13">
        <v>2</v>
      </c>
      <c r="P12" s="8">
        <f t="shared" si="4"/>
        <v>0</v>
      </c>
    </row>
    <row r="13" spans="2:16" x14ac:dyDescent="0.2">
      <c r="B13" s="13" t="str">
        <f>Team_12</f>
        <v>TB Glarus 11</v>
      </c>
      <c r="C13" s="13" t="str">
        <f>Team_14</f>
        <v>Baar 1</v>
      </c>
      <c r="D13" s="14">
        <f t="shared" si="0"/>
        <v>2</v>
      </c>
      <c r="E13" s="13">
        <v>7</v>
      </c>
      <c r="F13" s="21" t="s">
        <v>7</v>
      </c>
      <c r="G13" s="13">
        <v>3</v>
      </c>
      <c r="H13" s="14">
        <f t="shared" si="1"/>
        <v>0</v>
      </c>
      <c r="I13" s="16">
        <f t="shared" si="2"/>
        <v>0.46875000000000017</v>
      </c>
      <c r="J13" s="13" t="str">
        <f>Team_13</f>
        <v>Baar 3</v>
      </c>
      <c r="K13" s="13" t="str">
        <f>Team_10</f>
        <v>VDSE Budapest</v>
      </c>
      <c r="L13" s="14">
        <f t="shared" si="3"/>
        <v>2</v>
      </c>
      <c r="M13" s="13">
        <v>6</v>
      </c>
      <c r="N13" s="15" t="s">
        <v>7</v>
      </c>
      <c r="O13" s="13">
        <v>4</v>
      </c>
      <c r="P13" s="8">
        <f t="shared" si="4"/>
        <v>0</v>
      </c>
    </row>
    <row r="14" spans="2:16" x14ac:dyDescent="0.2">
      <c r="B14" s="13" t="str">
        <f>Team_06</f>
        <v>Baar 2</v>
      </c>
      <c r="C14" s="13" t="str">
        <f>Team_01</f>
        <v>Tirol</v>
      </c>
      <c r="D14" s="14">
        <f t="shared" si="0"/>
        <v>0</v>
      </c>
      <c r="E14" s="13">
        <v>0</v>
      </c>
      <c r="F14" s="21" t="s">
        <v>7</v>
      </c>
      <c r="G14" s="13">
        <v>6</v>
      </c>
      <c r="H14" s="14">
        <f t="shared" si="1"/>
        <v>2</v>
      </c>
      <c r="I14" s="16">
        <f t="shared" si="2"/>
        <v>0.47916666666666685</v>
      </c>
      <c r="J14" s="13" t="str">
        <f>Team_03</f>
        <v>CŠT ZPM - LEVOČA</v>
      </c>
      <c r="K14" s="13" t="str">
        <f>Team_08</f>
        <v>Zollikofen 1</v>
      </c>
      <c r="L14" s="14">
        <f t="shared" si="3"/>
        <v>2</v>
      </c>
      <c r="M14" s="13">
        <v>6</v>
      </c>
      <c r="N14" s="15" t="s">
        <v>7</v>
      </c>
      <c r="O14" s="13">
        <v>4</v>
      </c>
      <c r="P14" s="8">
        <f t="shared" si="4"/>
        <v>0</v>
      </c>
    </row>
    <row r="15" spans="2:16" x14ac:dyDescent="0.2">
      <c r="B15" s="13" t="str">
        <f>Team_07</f>
        <v>ANICES</v>
      </c>
      <c r="C15" s="13" t="str">
        <f>Team_02</f>
        <v>VBSC Vorarlberg Jugend</v>
      </c>
      <c r="D15" s="14">
        <f t="shared" si="0"/>
        <v>0</v>
      </c>
      <c r="E15" s="13">
        <v>2</v>
      </c>
      <c r="F15" s="21" t="s">
        <v>7</v>
      </c>
      <c r="G15" s="13">
        <v>3</v>
      </c>
      <c r="H15" s="14">
        <f t="shared" si="1"/>
        <v>2</v>
      </c>
      <c r="I15" s="16">
        <f t="shared" si="2"/>
        <v>0.48958333333333354</v>
      </c>
      <c r="J15" s="13" t="str">
        <f>Team_11</f>
        <v>LSDV - CLUJ, ROMANIA</v>
      </c>
      <c r="K15" s="13" t="str">
        <f>Team_15</f>
        <v>Zollikofen 2</v>
      </c>
      <c r="L15" s="14">
        <f t="shared" si="3"/>
        <v>2</v>
      </c>
      <c r="M15" s="13">
        <v>4</v>
      </c>
      <c r="N15" s="21" t="s">
        <v>7</v>
      </c>
      <c r="O15" s="13">
        <v>3</v>
      </c>
      <c r="P15" s="8">
        <f t="shared" si="4"/>
        <v>0</v>
      </c>
    </row>
    <row r="16" spans="2:16" x14ac:dyDescent="0.2">
      <c r="D16" s="17"/>
      <c r="E16" s="13"/>
      <c r="F16" s="21"/>
      <c r="G16" s="13"/>
      <c r="H16" s="17"/>
      <c r="I16" s="16">
        <f t="shared" si="2"/>
        <v>0.50000000000000022</v>
      </c>
      <c r="J16" s="13" t="str">
        <f>Team_10</f>
        <v>VDSE Budapest</v>
      </c>
      <c r="K16" s="13" t="str">
        <f>Team_09</f>
        <v>Zürich 2</v>
      </c>
      <c r="L16" s="14">
        <f t="shared" si="3"/>
        <v>0</v>
      </c>
      <c r="M16" s="13">
        <v>3</v>
      </c>
      <c r="N16" s="21" t="s">
        <v>7</v>
      </c>
      <c r="O16" s="13">
        <v>4</v>
      </c>
      <c r="P16" s="8">
        <f t="shared" si="4"/>
        <v>2</v>
      </c>
    </row>
    <row r="17" spans="2:16" x14ac:dyDescent="0.2">
      <c r="B17" s="13" t="str">
        <f>Team_04</f>
        <v>Zürich 3</v>
      </c>
      <c r="C17" s="13" t="str">
        <f>Team_08</f>
        <v>Zollikofen 1</v>
      </c>
      <c r="D17" s="14">
        <f t="shared" si="0"/>
        <v>0</v>
      </c>
      <c r="E17" s="13">
        <v>3</v>
      </c>
      <c r="F17" s="21" t="s">
        <v>7</v>
      </c>
      <c r="G17" s="13">
        <v>6</v>
      </c>
      <c r="H17" s="14">
        <f t="shared" si="1"/>
        <v>2</v>
      </c>
      <c r="I17" s="16">
        <f t="shared" si="2"/>
        <v>0.51041666666666685</v>
      </c>
      <c r="J17" s="13" t="str">
        <f>Team_03</f>
        <v>CŠT ZPM - LEVOČA</v>
      </c>
      <c r="K17" s="13" t="str">
        <f>Team_07</f>
        <v>ANICES</v>
      </c>
      <c r="L17" s="14">
        <f t="shared" si="3"/>
        <v>2</v>
      </c>
      <c r="M17" s="13">
        <v>5</v>
      </c>
      <c r="N17" s="21" t="s">
        <v>7</v>
      </c>
      <c r="O17" s="13">
        <v>2</v>
      </c>
      <c r="P17" s="8">
        <f t="shared" si="4"/>
        <v>0</v>
      </c>
    </row>
    <row r="18" spans="2:16" x14ac:dyDescent="0.2">
      <c r="B18" s="13" t="str">
        <f>Team_09</f>
        <v>Zürich 2</v>
      </c>
      <c r="C18" s="13" t="str">
        <f>Team_12</f>
        <v>TB Glarus 11</v>
      </c>
      <c r="D18" s="14">
        <f t="shared" si="0"/>
        <v>0</v>
      </c>
      <c r="E18" s="13">
        <v>2</v>
      </c>
      <c r="F18" s="21" t="s">
        <v>7</v>
      </c>
      <c r="G18" s="13">
        <v>5</v>
      </c>
      <c r="H18" s="14">
        <f t="shared" si="1"/>
        <v>2</v>
      </c>
      <c r="I18" s="16">
        <f t="shared" si="2"/>
        <v>0.52083333333333348</v>
      </c>
      <c r="J18" s="13" t="str">
        <f>Team_02</f>
        <v>VBSC Vorarlberg Jugend</v>
      </c>
      <c r="K18" s="13" t="str">
        <f>Team_06</f>
        <v>Baar 2</v>
      </c>
      <c r="L18" s="14">
        <f t="shared" si="3"/>
        <v>2</v>
      </c>
      <c r="M18" s="13">
        <v>9</v>
      </c>
      <c r="N18" s="21" t="s">
        <v>7</v>
      </c>
      <c r="O18" s="13">
        <v>3</v>
      </c>
      <c r="P18" s="8">
        <f t="shared" si="4"/>
        <v>0</v>
      </c>
    </row>
    <row r="19" spans="2:16" x14ac:dyDescent="0.2">
      <c r="B19" s="13" t="str">
        <f>Team_15</f>
        <v>Zollikofen 2</v>
      </c>
      <c r="C19" s="13" t="str">
        <f>Team_10</f>
        <v>VDSE Budapest</v>
      </c>
      <c r="D19" s="14">
        <f t="shared" si="0"/>
        <v>2</v>
      </c>
      <c r="E19" s="13">
        <v>4</v>
      </c>
      <c r="F19" s="21" t="s">
        <v>7</v>
      </c>
      <c r="G19" s="13">
        <v>2</v>
      </c>
      <c r="H19" s="14">
        <f t="shared" si="1"/>
        <v>0</v>
      </c>
      <c r="I19" s="16">
        <f t="shared" si="2"/>
        <v>0.53125000000000011</v>
      </c>
      <c r="J19" s="13" t="str">
        <f>Team_13</f>
        <v>Baar 3</v>
      </c>
      <c r="K19" s="13" t="str">
        <f>Team_11</f>
        <v>LSDV - CLUJ, ROMANIA</v>
      </c>
      <c r="L19" s="14">
        <f t="shared" si="3"/>
        <v>0</v>
      </c>
      <c r="M19" s="13">
        <v>5</v>
      </c>
      <c r="N19" s="21" t="s">
        <v>7</v>
      </c>
      <c r="O19" s="13">
        <v>6</v>
      </c>
      <c r="P19" s="8">
        <f t="shared" si="4"/>
        <v>2</v>
      </c>
    </row>
    <row r="20" spans="2:16" x14ac:dyDescent="0.2">
      <c r="B20" s="13" t="str">
        <f>Team_05</f>
        <v>Zürich 1</v>
      </c>
      <c r="C20" s="13" t="str">
        <f>Team_03</f>
        <v>CŠT ZPM - LEVOČA</v>
      </c>
      <c r="D20" s="14">
        <f t="shared" si="0"/>
        <v>2</v>
      </c>
      <c r="E20" s="13">
        <v>5</v>
      </c>
      <c r="F20" s="21" t="s">
        <v>7</v>
      </c>
      <c r="G20" s="13">
        <v>1</v>
      </c>
      <c r="H20" s="14">
        <f t="shared" si="1"/>
        <v>0</v>
      </c>
      <c r="I20" s="16">
        <f t="shared" si="2"/>
        <v>0.54166666666666674</v>
      </c>
      <c r="J20" s="13" t="str">
        <f>Team_07</f>
        <v>ANICES</v>
      </c>
      <c r="K20" s="13" t="str">
        <f>Team_01</f>
        <v>Tirol</v>
      </c>
      <c r="L20" s="14">
        <f t="shared" si="3"/>
        <v>0</v>
      </c>
      <c r="M20" s="13">
        <v>2</v>
      </c>
      <c r="N20" s="21" t="s">
        <v>7</v>
      </c>
      <c r="O20" s="13">
        <v>4</v>
      </c>
      <c r="P20" s="8">
        <f t="shared" si="4"/>
        <v>2</v>
      </c>
    </row>
    <row r="21" spans="2:16" x14ac:dyDescent="0.2">
      <c r="B21" s="13" t="str">
        <f>Team_08</f>
        <v>Zollikofen 1</v>
      </c>
      <c r="C21" s="13" t="str">
        <f>Team_06</f>
        <v>Baar 2</v>
      </c>
      <c r="D21" s="14">
        <f t="shared" si="0"/>
        <v>2</v>
      </c>
      <c r="E21" s="13">
        <v>5</v>
      </c>
      <c r="F21" s="21" t="s">
        <v>7</v>
      </c>
      <c r="G21" s="13">
        <v>3</v>
      </c>
      <c r="H21" s="14">
        <f t="shared" si="1"/>
        <v>0</v>
      </c>
      <c r="I21" s="16">
        <f t="shared" si="2"/>
        <v>0.55208333333333337</v>
      </c>
      <c r="J21" s="13" t="str">
        <f>Team_14</f>
        <v>Baar 1</v>
      </c>
      <c r="K21" s="13" t="str">
        <f>Team_09</f>
        <v>Zürich 2</v>
      </c>
      <c r="L21" s="14">
        <f t="shared" si="3"/>
        <v>2</v>
      </c>
      <c r="M21" s="13">
        <v>2</v>
      </c>
      <c r="N21" s="21" t="s">
        <v>7</v>
      </c>
      <c r="O21" s="13">
        <v>1</v>
      </c>
      <c r="P21" s="8">
        <f t="shared" si="4"/>
        <v>0</v>
      </c>
    </row>
    <row r="22" spans="2:16" x14ac:dyDescent="0.2">
      <c r="B22" s="13" t="str">
        <f>Team_12</f>
        <v>TB Glarus 11</v>
      </c>
      <c r="C22" s="13" t="str">
        <f>Team_15</f>
        <v>Zollikofen 2</v>
      </c>
      <c r="D22" s="14">
        <f t="shared" si="0"/>
        <v>2</v>
      </c>
      <c r="E22" s="13">
        <v>8</v>
      </c>
      <c r="F22" s="21" t="s">
        <v>7</v>
      </c>
      <c r="G22" s="13">
        <v>2</v>
      </c>
      <c r="H22" s="14">
        <f t="shared" si="1"/>
        <v>0</v>
      </c>
      <c r="I22" s="16">
        <f t="shared" si="2"/>
        <v>0.5625</v>
      </c>
      <c r="J22" s="13" t="str">
        <f>Team_04</f>
        <v>Zürich 3</v>
      </c>
      <c r="K22" s="13" t="str">
        <f>Team_05</f>
        <v>Zürich 1</v>
      </c>
      <c r="L22" s="14">
        <f t="shared" si="3"/>
        <v>0</v>
      </c>
      <c r="M22" s="13">
        <v>0</v>
      </c>
      <c r="N22" s="21" t="s">
        <v>7</v>
      </c>
      <c r="O22" s="13">
        <v>7</v>
      </c>
      <c r="P22" s="8">
        <f t="shared" si="4"/>
        <v>2</v>
      </c>
    </row>
    <row r="23" spans="2:16" x14ac:dyDescent="0.2">
      <c r="B23" s="13"/>
      <c r="C23" s="13"/>
      <c r="D23" s="17"/>
      <c r="E23" s="17"/>
      <c r="F23" s="21"/>
      <c r="G23" s="17"/>
      <c r="H23" s="17"/>
      <c r="I23" s="16">
        <f t="shared" si="2"/>
        <v>0.57291666666666663</v>
      </c>
      <c r="J23" s="13" t="str">
        <f>Team_03</f>
        <v>CŠT ZPM - LEVOČA</v>
      </c>
      <c r="K23" s="13" t="str">
        <f>Team_02</f>
        <v>VBSC Vorarlberg Jugend</v>
      </c>
      <c r="L23" s="14">
        <f t="shared" si="3"/>
        <v>2</v>
      </c>
      <c r="M23" s="13">
        <v>5</v>
      </c>
      <c r="N23" s="21" t="s">
        <v>7</v>
      </c>
      <c r="O23" s="13">
        <v>1</v>
      </c>
      <c r="P23" s="8">
        <f t="shared" si="4"/>
        <v>0</v>
      </c>
    </row>
    <row r="24" spans="2:16" x14ac:dyDescent="0.2">
      <c r="B24" s="13" t="str">
        <f>Team_14</f>
        <v>Baar 1</v>
      </c>
      <c r="C24" s="13" t="str">
        <f>Team_10</f>
        <v>VDSE Budapest</v>
      </c>
      <c r="D24" s="14">
        <f t="shared" si="0"/>
        <v>1</v>
      </c>
      <c r="E24" s="13">
        <v>2</v>
      </c>
      <c r="F24" s="21" t="s">
        <v>7</v>
      </c>
      <c r="G24" s="13">
        <v>2</v>
      </c>
      <c r="H24" s="14">
        <f t="shared" si="1"/>
        <v>1</v>
      </c>
      <c r="I24" s="16">
        <f t="shared" si="2"/>
        <v>0.58333333333333326</v>
      </c>
      <c r="J24" s="13" t="str">
        <f>Team_01</f>
        <v>Tirol</v>
      </c>
      <c r="K24" s="13" t="str">
        <f>Team_08</f>
        <v>Zollikofen 1</v>
      </c>
      <c r="L24" s="14">
        <f t="shared" si="3"/>
        <v>2</v>
      </c>
      <c r="M24" s="13">
        <v>5</v>
      </c>
      <c r="N24" s="21" t="s">
        <v>7</v>
      </c>
      <c r="O24" s="13">
        <v>3</v>
      </c>
      <c r="P24" s="8">
        <f t="shared" si="4"/>
        <v>0</v>
      </c>
    </row>
    <row r="25" spans="2:16" x14ac:dyDescent="0.2">
      <c r="B25" s="13" t="str">
        <f>Team_09</f>
        <v>Zürich 2</v>
      </c>
      <c r="C25" s="13" t="str">
        <f>Team_13</f>
        <v>Baar 3</v>
      </c>
      <c r="D25" s="14">
        <f t="shared" si="0"/>
        <v>2</v>
      </c>
      <c r="E25" s="13">
        <v>3</v>
      </c>
      <c r="F25" s="21" t="s">
        <v>7</v>
      </c>
      <c r="G25" s="13">
        <v>0</v>
      </c>
      <c r="H25" s="14">
        <f t="shared" si="1"/>
        <v>0</v>
      </c>
      <c r="I25" s="16">
        <f t="shared" si="2"/>
        <v>0.59374999999999989</v>
      </c>
      <c r="J25" s="13" t="str">
        <f>Team_06</f>
        <v>Baar 2</v>
      </c>
      <c r="K25" s="13" t="str">
        <f>Team_04</f>
        <v>Zürich 3</v>
      </c>
      <c r="L25" s="14">
        <f t="shared" si="3"/>
        <v>2</v>
      </c>
      <c r="M25" s="13">
        <v>4</v>
      </c>
      <c r="N25" s="21" t="s">
        <v>7</v>
      </c>
      <c r="O25" s="13">
        <v>3</v>
      </c>
      <c r="P25" s="8">
        <f t="shared" si="4"/>
        <v>0</v>
      </c>
    </row>
    <row r="26" spans="2:16" x14ac:dyDescent="0.2">
      <c r="B26" s="13" t="str">
        <f>Team_05</f>
        <v>Zürich 1</v>
      </c>
      <c r="C26" s="13" t="str">
        <f>Team_07</f>
        <v>ANICES</v>
      </c>
      <c r="D26" s="14">
        <f t="shared" si="0"/>
        <v>1</v>
      </c>
      <c r="E26" s="13">
        <v>1</v>
      </c>
      <c r="F26" s="21" t="s">
        <v>7</v>
      </c>
      <c r="G26" s="13">
        <v>1</v>
      </c>
      <c r="H26" s="14">
        <f t="shared" si="1"/>
        <v>1</v>
      </c>
      <c r="I26" s="16">
        <f t="shared" si="2"/>
        <v>0.60416666666666652</v>
      </c>
      <c r="J26" s="13"/>
      <c r="K26" s="13"/>
      <c r="L26" s="17"/>
      <c r="M26" s="17"/>
      <c r="N26" s="18"/>
      <c r="O26" s="17"/>
      <c r="P26" s="9"/>
    </row>
    <row r="27" spans="2:16" x14ac:dyDescent="0.2">
      <c r="B27" s="13" t="str">
        <f>Team_11</f>
        <v>LSDV - CLUJ, ROMANIA</v>
      </c>
      <c r="C27" s="13" t="str">
        <f>Team_14</f>
        <v>Baar 1</v>
      </c>
      <c r="D27" s="14">
        <f t="shared" si="0"/>
        <v>2</v>
      </c>
      <c r="E27" s="13">
        <v>2</v>
      </c>
      <c r="F27" s="21" t="s">
        <v>7</v>
      </c>
      <c r="G27" s="13">
        <v>1</v>
      </c>
      <c r="H27" s="14">
        <f t="shared" si="1"/>
        <v>0</v>
      </c>
      <c r="I27" s="16">
        <f t="shared" si="2"/>
        <v>0.61458333333333315</v>
      </c>
      <c r="J27" s="13" t="str">
        <f>Team_10</f>
        <v>VDSE Budapest</v>
      </c>
      <c r="K27" s="13" t="str">
        <f>Team_12</f>
        <v>TB Glarus 11</v>
      </c>
      <c r="L27" s="14">
        <f t="shared" si="3"/>
        <v>0</v>
      </c>
      <c r="M27" s="13">
        <v>1</v>
      </c>
      <c r="N27" s="21" t="s">
        <v>7</v>
      </c>
      <c r="O27" s="13">
        <v>8</v>
      </c>
      <c r="P27" s="8">
        <f t="shared" si="4"/>
        <v>2</v>
      </c>
    </row>
    <row r="28" spans="2:16" x14ac:dyDescent="0.2">
      <c r="B28" s="13" t="str">
        <f>Team_06</f>
        <v>Baar 2</v>
      </c>
      <c r="C28" s="13" t="str">
        <f>Team_03</f>
        <v>CŠT ZPM - LEVOČA</v>
      </c>
      <c r="D28" s="14">
        <f t="shared" si="0"/>
        <v>0</v>
      </c>
      <c r="E28" s="13">
        <v>0</v>
      </c>
      <c r="F28" s="21" t="s">
        <v>7</v>
      </c>
      <c r="G28" s="13">
        <v>6</v>
      </c>
      <c r="H28" s="14">
        <f t="shared" si="1"/>
        <v>2</v>
      </c>
      <c r="I28" s="16">
        <f t="shared" si="2"/>
        <v>0.62499999999999978</v>
      </c>
      <c r="J28" s="13" t="str">
        <f>Team_04</f>
        <v>Zürich 3</v>
      </c>
      <c r="K28" s="13" t="str">
        <f>Team_02</f>
        <v>VBSC Vorarlberg Jugend</v>
      </c>
      <c r="L28" s="14">
        <f t="shared" si="3"/>
        <v>2</v>
      </c>
      <c r="M28" s="13">
        <v>5</v>
      </c>
      <c r="N28" s="21" t="s">
        <v>7</v>
      </c>
      <c r="O28" s="13">
        <v>3</v>
      </c>
      <c r="P28" s="8">
        <f t="shared" si="4"/>
        <v>0</v>
      </c>
    </row>
    <row r="29" spans="2:16" x14ac:dyDescent="0.2">
      <c r="B29" s="13" t="str">
        <f>Team_15</f>
        <v>Zollikofen 2</v>
      </c>
      <c r="C29" s="13" t="str">
        <f>Team_13</f>
        <v>Baar 3</v>
      </c>
      <c r="D29" s="14">
        <f t="shared" si="0"/>
        <v>0</v>
      </c>
      <c r="E29" s="13">
        <v>1</v>
      </c>
      <c r="F29" s="21" t="s">
        <v>7</v>
      </c>
      <c r="G29" s="13">
        <v>8</v>
      </c>
      <c r="H29" s="14">
        <f t="shared" si="1"/>
        <v>2</v>
      </c>
      <c r="I29" s="16">
        <f t="shared" si="2"/>
        <v>0.63541666666666641</v>
      </c>
      <c r="J29" s="13" t="str">
        <f>Team_01</f>
        <v>Tirol</v>
      </c>
      <c r="K29" s="13" t="str">
        <f>Team_05</f>
        <v>Zürich 1</v>
      </c>
      <c r="L29" s="14">
        <f t="shared" si="3"/>
        <v>0</v>
      </c>
      <c r="M29" s="13">
        <v>1</v>
      </c>
      <c r="N29" s="21" t="s">
        <v>7</v>
      </c>
      <c r="O29" s="13">
        <v>2</v>
      </c>
      <c r="P29" s="8">
        <f t="shared" si="4"/>
        <v>2</v>
      </c>
    </row>
    <row r="30" spans="2:16" x14ac:dyDescent="0.2">
      <c r="B30" s="13"/>
      <c r="C30" s="13"/>
      <c r="D30" s="17" t="str">
        <f t="shared" si="0"/>
        <v/>
      </c>
      <c r="E30" s="13"/>
      <c r="F30" s="21"/>
      <c r="G30" s="13"/>
      <c r="H30" s="17"/>
      <c r="I30" s="16">
        <f t="shared" si="2"/>
        <v>0.64583333333333304</v>
      </c>
      <c r="J30" s="13"/>
      <c r="K30" s="13"/>
      <c r="L30" s="17"/>
      <c r="M30" s="13"/>
      <c r="N30" s="18"/>
      <c r="O30" s="13"/>
      <c r="P30" s="9"/>
    </row>
    <row r="31" spans="2:16" x14ac:dyDescent="0.2">
      <c r="B31" s="37" t="s">
        <v>39</v>
      </c>
      <c r="C31" s="35"/>
      <c r="D31" s="17" t="str">
        <f t="shared" si="0"/>
        <v/>
      </c>
      <c r="E31" s="17"/>
      <c r="F31" s="21"/>
      <c r="G31" s="17"/>
      <c r="H31" s="17"/>
      <c r="I31" s="16">
        <f t="shared" si="2"/>
        <v>0.65624999999999967</v>
      </c>
      <c r="J31" s="34" t="s">
        <v>41</v>
      </c>
      <c r="K31" s="34"/>
      <c r="L31" s="17"/>
      <c r="M31" s="17"/>
      <c r="N31" s="18"/>
      <c r="O31" s="17"/>
      <c r="P31" s="9"/>
    </row>
    <row r="32" spans="2:16" x14ac:dyDescent="0.2">
      <c r="B32" s="19" t="s">
        <v>72</v>
      </c>
      <c r="C32" s="19" t="s">
        <v>66</v>
      </c>
      <c r="D32" s="14">
        <f t="shared" si="0"/>
        <v>2</v>
      </c>
      <c r="E32" s="13">
        <v>6</v>
      </c>
      <c r="F32" s="21" t="s">
        <v>7</v>
      </c>
      <c r="G32" s="13">
        <v>2</v>
      </c>
      <c r="H32" s="14">
        <f t="shared" si="1"/>
        <v>0</v>
      </c>
      <c r="I32" s="16">
        <f t="shared" si="2"/>
        <v>0.6666666666666663</v>
      </c>
      <c r="J32" s="19" t="s">
        <v>67</v>
      </c>
      <c r="K32" s="19" t="s">
        <v>73</v>
      </c>
      <c r="L32" s="14">
        <f t="shared" si="3"/>
        <v>2</v>
      </c>
      <c r="M32" s="13">
        <v>7</v>
      </c>
      <c r="N32" s="21" t="s">
        <v>7</v>
      </c>
      <c r="O32" s="13">
        <v>1</v>
      </c>
      <c r="P32" s="8">
        <f t="shared" si="4"/>
        <v>0</v>
      </c>
    </row>
    <row r="33" spans="2:16" x14ac:dyDescent="0.2">
      <c r="B33" s="37" t="s">
        <v>40</v>
      </c>
      <c r="C33" s="35"/>
      <c r="D33" s="17" t="str">
        <f t="shared" si="0"/>
        <v/>
      </c>
      <c r="E33" s="13"/>
      <c r="F33" s="21"/>
      <c r="G33" s="13"/>
      <c r="H33" s="17"/>
      <c r="I33" s="16"/>
      <c r="J33" s="34" t="s">
        <v>42</v>
      </c>
      <c r="K33" s="34"/>
      <c r="L33" s="17"/>
      <c r="M33" s="13"/>
      <c r="N33" s="18"/>
      <c r="O33" s="13"/>
      <c r="P33" s="9"/>
    </row>
    <row r="34" spans="2:16" x14ac:dyDescent="0.2">
      <c r="B34" s="19" t="s">
        <v>75</v>
      </c>
      <c r="C34" s="19" t="s">
        <v>71</v>
      </c>
      <c r="D34" s="14">
        <f t="shared" si="0"/>
        <v>2</v>
      </c>
      <c r="E34" s="13">
        <v>3</v>
      </c>
      <c r="F34" s="21" t="s">
        <v>7</v>
      </c>
      <c r="G34" s="13">
        <v>1</v>
      </c>
      <c r="H34" s="14">
        <f t="shared" si="1"/>
        <v>0</v>
      </c>
      <c r="I34" s="16">
        <f>I32+Spielzeit</f>
        <v>0.67708333333333293</v>
      </c>
      <c r="J34" s="19" t="s">
        <v>68</v>
      </c>
      <c r="K34" s="19" t="s">
        <v>74</v>
      </c>
      <c r="L34" s="14">
        <f t="shared" si="3"/>
        <v>2</v>
      </c>
      <c r="M34" s="13">
        <v>4</v>
      </c>
      <c r="N34" s="21" t="s">
        <v>7</v>
      </c>
      <c r="O34" s="13">
        <v>2</v>
      </c>
      <c r="P34" s="8">
        <f t="shared" si="4"/>
        <v>0</v>
      </c>
    </row>
    <row r="35" spans="2:16" x14ac:dyDescent="0.2">
      <c r="B35" s="34" t="s">
        <v>35</v>
      </c>
      <c r="C35" s="35"/>
      <c r="D35" s="17" t="str">
        <f t="shared" si="0"/>
        <v/>
      </c>
      <c r="E35" s="13"/>
      <c r="F35" s="21"/>
      <c r="G35" s="13"/>
      <c r="H35" s="17"/>
      <c r="I35" s="16"/>
      <c r="J35" s="20" t="s">
        <v>36</v>
      </c>
      <c r="K35" s="19"/>
      <c r="L35" s="17"/>
      <c r="M35" s="13"/>
      <c r="N35" s="18"/>
      <c r="O35" s="13"/>
      <c r="P35" s="9"/>
    </row>
    <row r="36" spans="2:16" x14ac:dyDescent="0.2">
      <c r="B36" s="19" t="s">
        <v>76</v>
      </c>
      <c r="C36" s="19" t="s">
        <v>70</v>
      </c>
      <c r="D36" s="14">
        <f t="shared" si="0"/>
        <v>2</v>
      </c>
      <c r="E36" s="13">
        <v>6</v>
      </c>
      <c r="F36" s="21" t="s">
        <v>7</v>
      </c>
      <c r="G36" s="13">
        <v>4</v>
      </c>
      <c r="H36" s="14">
        <f t="shared" si="1"/>
        <v>0</v>
      </c>
      <c r="I36" s="16">
        <f>I34+Spielzeit</f>
        <v>0.68749999999999956</v>
      </c>
      <c r="J36" s="19" t="s">
        <v>77</v>
      </c>
      <c r="K36" s="19" t="s">
        <v>69</v>
      </c>
      <c r="L36" s="14">
        <f t="shared" si="3"/>
        <v>2</v>
      </c>
      <c r="M36" s="13">
        <v>6</v>
      </c>
      <c r="N36" s="21" t="s">
        <v>7</v>
      </c>
      <c r="O36" s="13">
        <v>3</v>
      </c>
      <c r="P36" s="8">
        <f t="shared" si="4"/>
        <v>0</v>
      </c>
    </row>
    <row r="37" spans="2:16" x14ac:dyDescent="0.2">
      <c r="B37" s="34" t="s">
        <v>37</v>
      </c>
      <c r="C37" s="35"/>
      <c r="D37" s="17"/>
      <c r="E37" s="17"/>
      <c r="F37" s="21"/>
      <c r="G37" s="17"/>
      <c r="H37" s="17"/>
      <c r="I37" s="13"/>
      <c r="J37" s="34" t="s">
        <v>38</v>
      </c>
      <c r="K37" s="35"/>
      <c r="L37" s="17"/>
      <c r="M37" s="17"/>
      <c r="N37" s="18"/>
      <c r="O37" s="17"/>
      <c r="P37" s="9"/>
    </row>
    <row r="38" spans="2:16" x14ac:dyDescent="0.2">
      <c r="B38" s="19" t="s">
        <v>78</v>
      </c>
      <c r="C38" s="19" t="s">
        <v>80</v>
      </c>
      <c r="D38" s="14">
        <f t="shared" si="0"/>
        <v>2</v>
      </c>
      <c r="E38" s="13">
        <v>5</v>
      </c>
      <c r="F38" s="21" t="s">
        <v>7</v>
      </c>
      <c r="G38" s="13">
        <v>3</v>
      </c>
      <c r="H38" s="14">
        <f t="shared" si="1"/>
        <v>0</v>
      </c>
      <c r="I38" s="16">
        <f>I36+Spielzeit</f>
        <v>0.69791666666666619</v>
      </c>
      <c r="J38" s="19" t="s">
        <v>81</v>
      </c>
      <c r="K38" s="19" t="s">
        <v>79</v>
      </c>
      <c r="L38" s="14">
        <f t="shared" si="3"/>
        <v>0</v>
      </c>
      <c r="M38" s="13">
        <v>2</v>
      </c>
      <c r="N38" s="21" t="s">
        <v>7</v>
      </c>
      <c r="O38" s="13">
        <v>3</v>
      </c>
      <c r="P38" s="8">
        <f t="shared" si="4"/>
        <v>2</v>
      </c>
    </row>
    <row r="39" spans="2:16" x14ac:dyDescent="0.2">
      <c r="B39" s="34" t="s">
        <v>43</v>
      </c>
      <c r="C39" s="35"/>
      <c r="D39" s="17"/>
      <c r="E39" s="13"/>
      <c r="F39" s="21"/>
      <c r="G39" s="13"/>
      <c r="H39" s="17"/>
      <c r="I39" s="16"/>
      <c r="J39" s="19"/>
      <c r="K39" s="19"/>
      <c r="L39" s="17"/>
      <c r="M39" s="13"/>
      <c r="N39" s="18"/>
      <c r="O39" s="13"/>
      <c r="P39" s="9"/>
    </row>
    <row r="40" spans="2:16" x14ac:dyDescent="0.2">
      <c r="B40" s="19" t="s">
        <v>82</v>
      </c>
      <c r="C40" s="19" t="s">
        <v>83</v>
      </c>
      <c r="D40" s="14">
        <f t="shared" si="0"/>
        <v>2</v>
      </c>
      <c r="E40" s="13">
        <v>7</v>
      </c>
      <c r="F40" s="21" t="s">
        <v>7</v>
      </c>
      <c r="G40" s="13">
        <v>4</v>
      </c>
      <c r="H40" s="14">
        <f t="shared" si="1"/>
        <v>0</v>
      </c>
      <c r="I40" s="16">
        <f>I38+Spielzeit</f>
        <v>0.70833333333333282</v>
      </c>
      <c r="J40" s="19"/>
      <c r="K40" s="19"/>
      <c r="L40" s="17"/>
      <c r="M40" s="13"/>
      <c r="N40" s="18"/>
      <c r="O40" s="13"/>
      <c r="P40" s="9"/>
    </row>
    <row r="41" spans="2:16" x14ac:dyDescent="0.2">
      <c r="B41" s="34" t="s">
        <v>44</v>
      </c>
      <c r="C41" s="35"/>
      <c r="D41" s="17"/>
      <c r="E41" s="13"/>
      <c r="F41" s="21"/>
      <c r="G41" s="13"/>
      <c r="H41" s="17"/>
      <c r="I41" s="16"/>
      <c r="J41" s="19"/>
      <c r="K41" s="19"/>
      <c r="L41" s="17"/>
      <c r="M41" s="13"/>
      <c r="N41" s="18"/>
      <c r="O41" s="13"/>
      <c r="P41" s="9"/>
    </row>
    <row r="42" spans="2:16" x14ac:dyDescent="0.2">
      <c r="B42" s="19" t="s">
        <v>85</v>
      </c>
      <c r="C42" s="19" t="s">
        <v>87</v>
      </c>
      <c r="D42" s="14">
        <f t="shared" si="0"/>
        <v>0</v>
      </c>
      <c r="E42" s="13">
        <v>3</v>
      </c>
      <c r="F42" s="21" t="s">
        <v>7</v>
      </c>
      <c r="G42" s="13">
        <v>4</v>
      </c>
      <c r="H42" s="14">
        <f t="shared" si="1"/>
        <v>2</v>
      </c>
      <c r="I42" s="16">
        <f>I40+Spielzeit</f>
        <v>0.71874999999999944</v>
      </c>
      <c r="J42" s="19"/>
      <c r="K42" s="19"/>
      <c r="L42" s="17"/>
      <c r="M42" s="13"/>
      <c r="N42" s="18"/>
      <c r="O42" s="13"/>
      <c r="P42" s="9"/>
    </row>
    <row r="43" spans="2:16" x14ac:dyDescent="0.2">
      <c r="B43" s="34" t="s">
        <v>6</v>
      </c>
      <c r="C43" s="35"/>
      <c r="D43" s="17" t="str">
        <f t="shared" si="0"/>
        <v/>
      </c>
      <c r="E43" s="17"/>
      <c r="F43" s="21"/>
      <c r="G43" s="17"/>
      <c r="H43" s="17"/>
      <c r="I43" s="13"/>
      <c r="J43" s="13"/>
      <c r="K43" s="13"/>
      <c r="L43" s="13"/>
      <c r="M43" s="13"/>
      <c r="N43" s="13"/>
      <c r="O43" s="13"/>
      <c r="P43" s="5"/>
    </row>
    <row r="44" spans="2:16" x14ac:dyDescent="0.2">
      <c r="B44" s="19" t="s">
        <v>84</v>
      </c>
      <c r="C44" s="17" t="s">
        <v>86</v>
      </c>
      <c r="D44" s="14">
        <f t="shared" si="0"/>
        <v>2</v>
      </c>
      <c r="E44" s="13">
        <v>3</v>
      </c>
      <c r="F44" s="21" t="s">
        <v>7</v>
      </c>
      <c r="G44" s="13">
        <v>1</v>
      </c>
      <c r="H44" s="14">
        <f t="shared" si="1"/>
        <v>0</v>
      </c>
      <c r="I44" s="16">
        <f>I42+Spielzeit</f>
        <v>0.72916666666666607</v>
      </c>
      <c r="J44" s="13"/>
      <c r="K44" s="13"/>
      <c r="L44" s="13"/>
      <c r="M44" s="13"/>
      <c r="N44" s="13"/>
      <c r="O44" s="13"/>
      <c r="P44" s="5"/>
    </row>
    <row r="45" spans="2:16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6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6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2:16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2:15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2:15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15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</sheetData>
  <mergeCells count="13">
    <mergeCell ref="C1:K1"/>
    <mergeCell ref="B37:C37"/>
    <mergeCell ref="B43:C43"/>
    <mergeCell ref="J37:K37"/>
    <mergeCell ref="B2:C2"/>
    <mergeCell ref="J2:K2"/>
    <mergeCell ref="J31:K31"/>
    <mergeCell ref="B31:C31"/>
    <mergeCell ref="B35:C35"/>
    <mergeCell ref="B33:C33"/>
    <mergeCell ref="J33:K33"/>
    <mergeCell ref="B39:C39"/>
    <mergeCell ref="B41:C41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hotoDeluxeBusiness.Image.1" shapeId="2049" r:id="rId4">
          <objectPr defaultSize="0" autoPict="0" r:id="rId5">
            <anchor moveWithCells="1" sizeWithCells="1">
              <from>
                <xdr:col>1</xdr:col>
                <xdr:colOff>28575</xdr:colOff>
                <xdr:row>0</xdr:row>
                <xdr:rowOff>0</xdr:rowOff>
              </from>
              <to>
                <xdr:col>1</xdr:col>
                <xdr:colOff>1276350</xdr:colOff>
                <xdr:row>1</xdr:row>
                <xdr:rowOff>0</xdr:rowOff>
              </to>
            </anchor>
          </objectPr>
        </oleObject>
      </mc:Choice>
      <mc:Fallback>
        <oleObject progId="PhotoDeluxeBusiness.Image.1" shapeId="2049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611A7038-82E4-4224-9053-DD6F42BC3A30}">
            <xm:f>Start!$B$15</xm:f>
            <x14:dxf>
              <fill>
                <patternFill>
                  <bgColor theme="5" tint="0.59996337778862885"/>
                </patternFill>
              </fill>
            </x14:dxf>
          </x14:cfRule>
          <xm:sqref>B32:C32 B31 B38:C38 B37 B44:C45 B43 J38:K45 J37 B36:C36 B35 B34:C34 B40:C40 B41 B42:C42 B4:C15 J4:K36 B17:C30</xm:sqref>
        </x14:conditionalFormatting>
        <x14:conditionalFormatting xmlns:xm="http://schemas.microsoft.com/office/excel/2006/main">
          <x14:cfRule type="cellIs" priority="2" operator="equal" id="{A6995337-2B71-4CD3-AAB4-C2F6E31756DF}">
            <xm:f>Start!$B$15</xm:f>
            <x14:dxf>
              <fill>
                <patternFill>
                  <bgColor theme="5" tint="0.59996337778862885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ellIs" priority="1" operator="equal" id="{DC836281-D9A4-4E61-9121-4C2DDE20BBD4}">
            <xm:f>Start!$B$15</xm:f>
            <x14:dxf>
              <fill>
                <patternFill>
                  <bgColor theme="5" tint="0.59996337778862885"/>
                </patternFill>
              </fill>
            </x14:dxf>
          </x14:cfRule>
          <xm:sqref>B39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"/>
  <sheetViews>
    <sheetView workbookViewId="0">
      <selection sqref="A1:AC1"/>
    </sheetView>
  </sheetViews>
  <sheetFormatPr baseColWidth="10" defaultColWidth="11.5546875" defaultRowHeight="15" x14ac:dyDescent="0.2"/>
  <cols>
    <col min="1" max="1" width="3.77734375" customWidth="1"/>
    <col min="2" max="2" width="20.77734375" customWidth="1"/>
    <col min="3" max="7" width="4.33203125" customWidth="1"/>
    <col min="8" max="8" width="5.77734375" customWidth="1"/>
    <col min="9" max="11" width="4.33203125" hidden="1" customWidth="1"/>
    <col min="12" max="29" width="3.77734375" customWidth="1"/>
  </cols>
  <sheetData>
    <row r="1" spans="1:29" ht="60" customHeight="1" x14ac:dyDescent="0.3">
      <c r="A1" s="41" t="s">
        <v>64</v>
      </c>
      <c r="B1" s="42"/>
      <c r="C1" s="42"/>
      <c r="D1" s="42"/>
      <c r="E1" s="42"/>
      <c r="F1" s="42"/>
      <c r="G1" s="42"/>
      <c r="H1" s="42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5.75" thickBot="1" x14ac:dyDescent="0.25"/>
    <row r="3" spans="1:29" ht="15.75" thickBot="1" x14ac:dyDescent="0.25">
      <c r="I3" s="39" t="s">
        <v>60</v>
      </c>
      <c r="J3" s="39"/>
      <c r="K3" s="40"/>
      <c r="L3" s="38" t="s">
        <v>17</v>
      </c>
      <c r="M3" s="38"/>
      <c r="N3" s="38"/>
      <c r="O3" s="38" t="s">
        <v>20</v>
      </c>
      <c r="P3" s="38"/>
      <c r="Q3" s="38"/>
      <c r="R3" s="38" t="s">
        <v>21</v>
      </c>
      <c r="S3" s="38"/>
      <c r="T3" s="38"/>
      <c r="U3" s="38" t="s">
        <v>22</v>
      </c>
      <c r="V3" s="38"/>
      <c r="W3" s="38"/>
      <c r="X3" s="38" t="s">
        <v>23</v>
      </c>
      <c r="Y3" s="38"/>
      <c r="Z3" s="38"/>
      <c r="AA3" s="38" t="s">
        <v>24</v>
      </c>
      <c r="AB3" s="38"/>
      <c r="AC3" s="38"/>
    </row>
    <row r="4" spans="1:29" ht="15.75" x14ac:dyDescent="0.25">
      <c r="A4" s="23" t="s">
        <v>10</v>
      </c>
      <c r="B4" s="3" t="s">
        <v>9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7" t="s">
        <v>8</v>
      </c>
      <c r="J4" s="7" t="s">
        <v>61</v>
      </c>
      <c r="K4" s="7" t="s">
        <v>62</v>
      </c>
      <c r="L4" s="10" t="s">
        <v>8</v>
      </c>
      <c r="M4" s="11" t="s">
        <v>18</v>
      </c>
      <c r="N4" s="12" t="s">
        <v>19</v>
      </c>
      <c r="O4" s="10" t="s">
        <v>8</v>
      </c>
      <c r="P4" s="11" t="s">
        <v>18</v>
      </c>
      <c r="Q4" s="12" t="s">
        <v>19</v>
      </c>
      <c r="R4" s="10" t="s">
        <v>8</v>
      </c>
      <c r="S4" s="11" t="s">
        <v>18</v>
      </c>
      <c r="T4" s="12" t="s">
        <v>19</v>
      </c>
      <c r="U4" s="10" t="s">
        <v>8</v>
      </c>
      <c r="V4" s="11" t="s">
        <v>18</v>
      </c>
      <c r="W4" s="12" t="s">
        <v>19</v>
      </c>
      <c r="X4" s="10" t="s">
        <v>8</v>
      </c>
      <c r="Y4" s="11" t="s">
        <v>18</v>
      </c>
      <c r="Z4" s="12" t="s">
        <v>19</v>
      </c>
      <c r="AA4" s="10" t="s">
        <v>8</v>
      </c>
      <c r="AB4" s="11" t="s">
        <v>18</v>
      </c>
      <c r="AC4" s="12" t="s">
        <v>19</v>
      </c>
    </row>
    <row r="5" spans="1:29" x14ac:dyDescent="0.2">
      <c r="A5">
        <v>1</v>
      </c>
      <c r="B5" t="str">
        <f>Team_12</f>
        <v>TB Glarus 11</v>
      </c>
      <c r="C5">
        <f>COUNT(Spielplan!H5,Spielplan!L9,Spielplan!H18,Spielplan!D22,Spielplan!P27,Spielplan!D13)</f>
        <v>6</v>
      </c>
      <c r="D5">
        <f>SUM(Punkte_Team_12)</f>
        <v>12</v>
      </c>
      <c r="E5">
        <f>SUM(Tore_Team_12)</f>
        <v>42</v>
      </c>
      <c r="F5">
        <f>SUM(eTore_Team_12)</f>
        <v>15</v>
      </c>
      <c r="G5">
        <f t="shared" ref="G5:G11" si="0">SUM(E5-F5)</f>
        <v>27</v>
      </c>
      <c r="H5">
        <f t="shared" ref="H5:H11" si="1">SUM(E5/F5)</f>
        <v>2.8</v>
      </c>
      <c r="I5" s="22">
        <f t="shared" ref="I5:K11" si="2">SUM(L5,O5,R5,U5,X5,AA5)</f>
        <v>12</v>
      </c>
      <c r="J5" s="22">
        <f t="shared" si="2"/>
        <v>42</v>
      </c>
      <c r="K5" s="22">
        <f t="shared" si="2"/>
        <v>15</v>
      </c>
      <c r="L5">
        <f>Spielplan!H5</f>
        <v>2</v>
      </c>
      <c r="M5">
        <f>Spielplan!G5</f>
        <v>5</v>
      </c>
      <c r="N5">
        <f>Spielplan!E5</f>
        <v>3</v>
      </c>
      <c r="O5">
        <f>Spielplan!L9</f>
        <v>2</v>
      </c>
      <c r="P5">
        <f>Spielplan!M9</f>
        <v>9</v>
      </c>
      <c r="Q5">
        <f>Spielplan!O9</f>
        <v>4</v>
      </c>
      <c r="R5">
        <f>Spielplan!D13</f>
        <v>2</v>
      </c>
      <c r="S5">
        <f>Spielplan!E13</f>
        <v>7</v>
      </c>
      <c r="T5">
        <f>Spielplan!G13</f>
        <v>3</v>
      </c>
      <c r="U5">
        <f>Spielplan!H18</f>
        <v>2</v>
      </c>
      <c r="V5">
        <f>Spielplan!G18</f>
        <v>5</v>
      </c>
      <c r="W5">
        <f>Spielplan!E18</f>
        <v>2</v>
      </c>
      <c r="X5">
        <f>Spielplan!D22</f>
        <v>2</v>
      </c>
      <c r="Y5">
        <f>Spielplan!E22</f>
        <v>8</v>
      </c>
      <c r="Z5">
        <f>Spielplan!G22</f>
        <v>2</v>
      </c>
      <c r="AA5">
        <f>Spielplan!P27</f>
        <v>2</v>
      </c>
      <c r="AB5">
        <f>Spielplan!O27</f>
        <v>8</v>
      </c>
      <c r="AC5">
        <f>Spielplan!M27</f>
        <v>1</v>
      </c>
    </row>
    <row r="6" spans="1:29" x14ac:dyDescent="0.2">
      <c r="A6">
        <v>2</v>
      </c>
      <c r="B6" t="str">
        <f>Team_09</f>
        <v>Zürich 2</v>
      </c>
      <c r="C6">
        <f>COUNT(Spielplan!H7,Spielplan!L12,Spielplan!P16,Spielplan!D18,Spielplan!P21,Spielplan!D25)</f>
        <v>6</v>
      </c>
      <c r="D6">
        <f>SUM(Punkte_Team_09)</f>
        <v>8</v>
      </c>
      <c r="E6">
        <f>SUM(Tore_Team_09)</f>
        <v>20</v>
      </c>
      <c r="F6">
        <f>SUM(eTore_Team_09)</f>
        <v>15</v>
      </c>
      <c r="G6">
        <f t="shared" si="0"/>
        <v>5</v>
      </c>
      <c r="H6">
        <f t="shared" si="1"/>
        <v>1.3333333333333333</v>
      </c>
      <c r="I6" s="22">
        <f t="shared" si="2"/>
        <v>8</v>
      </c>
      <c r="J6" s="22">
        <f t="shared" si="2"/>
        <v>20</v>
      </c>
      <c r="K6" s="22">
        <f t="shared" si="2"/>
        <v>15</v>
      </c>
      <c r="L6">
        <f>Spielplan!H7</f>
        <v>2</v>
      </c>
      <c r="M6">
        <f>Spielplan!G7</f>
        <v>6</v>
      </c>
      <c r="N6">
        <f>Spielplan!E7</f>
        <v>3</v>
      </c>
      <c r="O6">
        <f>Spielplan!L12</f>
        <v>2</v>
      </c>
      <c r="P6">
        <f>Spielplan!M12</f>
        <v>4</v>
      </c>
      <c r="Q6">
        <f>Spielplan!O12</f>
        <v>2</v>
      </c>
      <c r="R6">
        <f>Spielplan!P16</f>
        <v>2</v>
      </c>
      <c r="S6">
        <f>Spielplan!O16</f>
        <v>4</v>
      </c>
      <c r="T6">
        <f>Spielplan!M16</f>
        <v>3</v>
      </c>
      <c r="U6">
        <f>Spielplan!D18</f>
        <v>0</v>
      </c>
      <c r="V6">
        <f>Spielplan!E18</f>
        <v>2</v>
      </c>
      <c r="W6">
        <f>Spielplan!G18</f>
        <v>5</v>
      </c>
      <c r="X6">
        <f>Spielplan!P21</f>
        <v>0</v>
      </c>
      <c r="Y6">
        <f>Spielplan!O21</f>
        <v>1</v>
      </c>
      <c r="Z6">
        <f>Spielplan!M21</f>
        <v>2</v>
      </c>
      <c r="AA6">
        <f>Spielplan!D25</f>
        <v>2</v>
      </c>
      <c r="AB6">
        <f>Spielplan!E25</f>
        <v>3</v>
      </c>
      <c r="AC6">
        <f>Spielplan!G25</f>
        <v>0</v>
      </c>
    </row>
    <row r="7" spans="1:29" x14ac:dyDescent="0.2">
      <c r="A7">
        <v>3</v>
      </c>
      <c r="B7" t="str">
        <f>Team_11</f>
        <v>LSDV - CLUJ, ROMANIA</v>
      </c>
      <c r="C7">
        <f>COUNT(Spielplan!D5,Spielplan!H9,Spielplan!P12,Spielplan!L15,Spielplan!P19,Spielplan!D27)</f>
        <v>6</v>
      </c>
      <c r="D7">
        <f>SUM(Punkte_Team_11)</f>
        <v>8</v>
      </c>
      <c r="E7">
        <f>SUM(Tore_Team_11)</f>
        <v>22</v>
      </c>
      <c r="F7">
        <f>SUM(eTore_Team_11)</f>
        <v>21</v>
      </c>
      <c r="G7">
        <f t="shared" si="0"/>
        <v>1</v>
      </c>
      <c r="H7">
        <f t="shared" si="1"/>
        <v>1.0476190476190477</v>
      </c>
      <c r="I7" s="22">
        <f t="shared" si="2"/>
        <v>8</v>
      </c>
      <c r="J7" s="22">
        <f t="shared" si="2"/>
        <v>22</v>
      </c>
      <c r="K7" s="22">
        <f t="shared" si="2"/>
        <v>21</v>
      </c>
      <c r="L7">
        <f>Spielplan!D5</f>
        <v>0</v>
      </c>
      <c r="M7">
        <f>Spielplan!E5</f>
        <v>3</v>
      </c>
      <c r="N7">
        <f>Spielplan!G5</f>
        <v>5</v>
      </c>
      <c r="O7">
        <f>Spielplan!H9</f>
        <v>2</v>
      </c>
      <c r="P7">
        <f>Spielplan!G9</f>
        <v>5</v>
      </c>
      <c r="Q7">
        <f>Spielplan!E9</f>
        <v>3</v>
      </c>
      <c r="R7">
        <f>Spielplan!P12</f>
        <v>0</v>
      </c>
      <c r="S7">
        <f>Spielplan!O12</f>
        <v>2</v>
      </c>
      <c r="T7">
        <f>Spielplan!M12</f>
        <v>4</v>
      </c>
      <c r="U7">
        <f>Spielplan!L15</f>
        <v>2</v>
      </c>
      <c r="V7">
        <f>Spielplan!M15</f>
        <v>4</v>
      </c>
      <c r="W7">
        <f>Spielplan!O15</f>
        <v>3</v>
      </c>
      <c r="X7">
        <f>Spielplan!P19</f>
        <v>2</v>
      </c>
      <c r="Y7">
        <f>Spielplan!O19</f>
        <v>6</v>
      </c>
      <c r="Z7">
        <f>Spielplan!M19</f>
        <v>5</v>
      </c>
      <c r="AA7">
        <f>Spielplan!D27</f>
        <v>2</v>
      </c>
      <c r="AB7">
        <f>Spielplan!E27</f>
        <v>2</v>
      </c>
      <c r="AC7">
        <f>Spielplan!G27</f>
        <v>1</v>
      </c>
    </row>
    <row r="8" spans="1:29" x14ac:dyDescent="0.2">
      <c r="A8">
        <v>4</v>
      </c>
      <c r="B8" t="str">
        <f>Team_14</f>
        <v>Baar 1</v>
      </c>
      <c r="C8">
        <f>COUNT(Spielplan!P6,Spielplan!L10,Spielplan!H13,Spielplan!L21,Spielplan!D24,Spielplan!H27)</f>
        <v>6</v>
      </c>
      <c r="D8">
        <f>SUM(Punkte_Team_14)</f>
        <v>7</v>
      </c>
      <c r="E8">
        <f>SUM(Tore_Team_14)</f>
        <v>27</v>
      </c>
      <c r="F8">
        <f>SUM(eTore_Team_14)</f>
        <v>14</v>
      </c>
      <c r="G8">
        <f t="shared" si="0"/>
        <v>13</v>
      </c>
      <c r="H8">
        <f t="shared" si="1"/>
        <v>1.9285714285714286</v>
      </c>
      <c r="I8" s="22">
        <f t="shared" si="2"/>
        <v>7</v>
      </c>
      <c r="J8" s="22">
        <f t="shared" si="2"/>
        <v>27</v>
      </c>
      <c r="K8" s="22">
        <f t="shared" si="2"/>
        <v>14</v>
      </c>
      <c r="L8">
        <f>Spielplan!P6</f>
        <v>2</v>
      </c>
      <c r="M8">
        <f>Spielplan!O6</f>
        <v>11</v>
      </c>
      <c r="N8">
        <f>Spielplan!M6</f>
        <v>1</v>
      </c>
      <c r="O8">
        <f>Spielplan!L10</f>
        <v>2</v>
      </c>
      <c r="P8">
        <f>Spielplan!M10</f>
        <v>8</v>
      </c>
      <c r="Q8">
        <f>Spielplan!O10</f>
        <v>1</v>
      </c>
      <c r="R8">
        <f>Spielplan!H13</f>
        <v>0</v>
      </c>
      <c r="S8">
        <f>Spielplan!G13</f>
        <v>3</v>
      </c>
      <c r="T8">
        <f>Spielplan!E13</f>
        <v>7</v>
      </c>
      <c r="U8">
        <f>Spielplan!L21</f>
        <v>2</v>
      </c>
      <c r="V8">
        <f>Spielplan!M21</f>
        <v>2</v>
      </c>
      <c r="W8">
        <f>Spielplan!O21</f>
        <v>1</v>
      </c>
      <c r="X8">
        <f>Spielplan!D24</f>
        <v>1</v>
      </c>
      <c r="Y8">
        <f>Spielplan!E24</f>
        <v>2</v>
      </c>
      <c r="Z8">
        <f>Spielplan!G24</f>
        <v>2</v>
      </c>
      <c r="AA8">
        <f>Spielplan!H27</f>
        <v>0</v>
      </c>
      <c r="AB8">
        <f>Spielplan!G27</f>
        <v>1</v>
      </c>
      <c r="AC8">
        <f>Spielplan!E27</f>
        <v>2</v>
      </c>
    </row>
    <row r="9" spans="1:29" x14ac:dyDescent="0.2">
      <c r="A9">
        <v>5</v>
      </c>
      <c r="B9" t="str">
        <f>Team_13</f>
        <v>Baar 3</v>
      </c>
      <c r="C9">
        <f>COUNT(Spielplan!L6,Spielplan!P9,Spielplan!L13,Spielplan!L19,Spielplan!H25,Spielplan!H29)</f>
        <v>6</v>
      </c>
      <c r="D9">
        <f>SUM(Punkte_Team_13)</f>
        <v>4</v>
      </c>
      <c r="E9">
        <f>SUM(Tore_Team_13)</f>
        <v>24</v>
      </c>
      <c r="F9">
        <f>SUM(eTore_Team_13)</f>
        <v>34</v>
      </c>
      <c r="G9">
        <f t="shared" si="0"/>
        <v>-10</v>
      </c>
      <c r="H9">
        <f t="shared" si="1"/>
        <v>0.70588235294117652</v>
      </c>
      <c r="I9" s="22">
        <f t="shared" si="2"/>
        <v>4</v>
      </c>
      <c r="J9" s="22">
        <f t="shared" si="2"/>
        <v>24</v>
      </c>
      <c r="K9" s="22">
        <f t="shared" si="2"/>
        <v>34</v>
      </c>
      <c r="L9">
        <f>Spielplan!L6</f>
        <v>0</v>
      </c>
      <c r="M9">
        <f>Spielplan!M6</f>
        <v>1</v>
      </c>
      <c r="N9">
        <f>Spielplan!O6</f>
        <v>11</v>
      </c>
      <c r="O9">
        <f>Spielplan!P9</f>
        <v>0</v>
      </c>
      <c r="P9">
        <f>Spielplan!O9</f>
        <v>4</v>
      </c>
      <c r="Q9">
        <f>Spielplan!M9</f>
        <v>9</v>
      </c>
      <c r="R9">
        <f>Spielplan!L13</f>
        <v>2</v>
      </c>
      <c r="S9">
        <f>Spielplan!M13</f>
        <v>6</v>
      </c>
      <c r="T9">
        <f>Spielplan!O13</f>
        <v>4</v>
      </c>
      <c r="U9">
        <f>Spielplan!L19</f>
        <v>0</v>
      </c>
      <c r="V9">
        <f>Spielplan!M19</f>
        <v>5</v>
      </c>
      <c r="W9">
        <f>Spielplan!O19</f>
        <v>6</v>
      </c>
      <c r="X9">
        <f>Spielplan!H25</f>
        <v>0</v>
      </c>
      <c r="Y9">
        <f>Spielplan!G25</f>
        <v>0</v>
      </c>
      <c r="Z9">
        <f>Spielplan!E25</f>
        <v>3</v>
      </c>
      <c r="AA9">
        <f>Spielplan!H29</f>
        <v>2</v>
      </c>
      <c r="AB9">
        <f>Spielplan!G29</f>
        <v>8</v>
      </c>
      <c r="AC9">
        <f>Spielplan!E29</f>
        <v>1</v>
      </c>
    </row>
    <row r="10" spans="1:29" x14ac:dyDescent="0.2">
      <c r="A10">
        <v>6</v>
      </c>
      <c r="B10" t="str">
        <f>Team_15</f>
        <v>Zollikofen 2</v>
      </c>
      <c r="C10">
        <f>COUNT(Spielplan!D7,Spielplan!P10,Spielplan!P15,Spielplan!D19,Spielplan!H22,Spielplan!D29)</f>
        <v>6</v>
      </c>
      <c r="D10">
        <f>SUM(Punkte_Team_15)</f>
        <v>2</v>
      </c>
      <c r="E10">
        <f>SUM(Tore_Team_15)</f>
        <v>14</v>
      </c>
      <c r="F10">
        <f>SUM(eTore_Team_15)</f>
        <v>36</v>
      </c>
      <c r="G10">
        <f t="shared" si="0"/>
        <v>-22</v>
      </c>
      <c r="H10">
        <f t="shared" si="1"/>
        <v>0.3888888888888889</v>
      </c>
      <c r="I10" s="22">
        <f t="shared" si="2"/>
        <v>2</v>
      </c>
      <c r="J10" s="22">
        <f t="shared" si="2"/>
        <v>14</v>
      </c>
      <c r="K10" s="22">
        <f t="shared" si="2"/>
        <v>36</v>
      </c>
      <c r="L10">
        <f>Spielplan!D7</f>
        <v>0</v>
      </c>
      <c r="M10">
        <f>Spielplan!E7</f>
        <v>3</v>
      </c>
      <c r="N10">
        <f>Spielplan!G7</f>
        <v>6</v>
      </c>
      <c r="O10">
        <f>Spielplan!P10</f>
        <v>0</v>
      </c>
      <c r="P10">
        <f>Spielplan!O10</f>
        <v>1</v>
      </c>
      <c r="Q10">
        <f>Spielplan!M10</f>
        <v>8</v>
      </c>
      <c r="R10">
        <f>Spielplan!P15</f>
        <v>0</v>
      </c>
      <c r="S10">
        <f>Spielplan!O15</f>
        <v>3</v>
      </c>
      <c r="T10">
        <f>Spielplan!M15</f>
        <v>4</v>
      </c>
      <c r="U10">
        <f>Spielplan!D19</f>
        <v>2</v>
      </c>
      <c r="V10">
        <f>Spielplan!E19</f>
        <v>4</v>
      </c>
      <c r="W10">
        <f>Spielplan!G19</f>
        <v>2</v>
      </c>
      <c r="X10">
        <f>Spielplan!H22</f>
        <v>0</v>
      </c>
      <c r="Y10">
        <f>Spielplan!G22</f>
        <v>2</v>
      </c>
      <c r="Z10">
        <f>Spielplan!E22</f>
        <v>8</v>
      </c>
      <c r="AA10">
        <f>Spielplan!D29</f>
        <v>0</v>
      </c>
      <c r="AB10">
        <f>Spielplan!E29</f>
        <v>1</v>
      </c>
      <c r="AC10">
        <f>Spielplan!G29</f>
        <v>8</v>
      </c>
    </row>
    <row r="11" spans="1:29" x14ac:dyDescent="0.2">
      <c r="A11">
        <v>7</v>
      </c>
      <c r="B11" t="str">
        <f>Team_10</f>
        <v>VDSE Budapest</v>
      </c>
      <c r="C11">
        <f>COUNT(Spielplan!D9,Spielplan!P13,Spielplan!L16,Spielplan!H19,Spielplan!H24,Spielplan!L27)</f>
        <v>6</v>
      </c>
      <c r="D11">
        <f>SUM(Punkte_Team_10)</f>
        <v>1</v>
      </c>
      <c r="E11">
        <f>SUM(Tore_Team_10)</f>
        <v>15</v>
      </c>
      <c r="F11">
        <f>SUM(eTore_Team_10)</f>
        <v>29</v>
      </c>
      <c r="G11">
        <f t="shared" si="0"/>
        <v>-14</v>
      </c>
      <c r="H11">
        <f t="shared" si="1"/>
        <v>0.51724137931034486</v>
      </c>
      <c r="I11" s="22">
        <f t="shared" si="2"/>
        <v>1</v>
      </c>
      <c r="J11" s="22">
        <f t="shared" si="2"/>
        <v>15</v>
      </c>
      <c r="K11" s="22">
        <f t="shared" si="2"/>
        <v>29</v>
      </c>
      <c r="L11">
        <f>Spielplan!D9</f>
        <v>0</v>
      </c>
      <c r="M11">
        <f>Spielplan!E9</f>
        <v>3</v>
      </c>
      <c r="N11">
        <f>Spielplan!G9</f>
        <v>5</v>
      </c>
      <c r="O11">
        <f>Spielplan!P13</f>
        <v>0</v>
      </c>
      <c r="P11">
        <f>Spielplan!O13</f>
        <v>4</v>
      </c>
      <c r="Q11">
        <f>Spielplan!M13</f>
        <v>6</v>
      </c>
      <c r="R11">
        <f>Spielplan!L16</f>
        <v>0</v>
      </c>
      <c r="S11">
        <f>Spielplan!M16</f>
        <v>3</v>
      </c>
      <c r="T11">
        <f>Spielplan!O16</f>
        <v>4</v>
      </c>
      <c r="U11">
        <f>Spielplan!H19</f>
        <v>0</v>
      </c>
      <c r="V11">
        <f>Spielplan!G19</f>
        <v>2</v>
      </c>
      <c r="W11">
        <f>Spielplan!E19</f>
        <v>4</v>
      </c>
      <c r="X11">
        <f>Spielplan!H24</f>
        <v>1</v>
      </c>
      <c r="Y11">
        <f>Spielplan!G24</f>
        <v>2</v>
      </c>
      <c r="Z11">
        <f>Spielplan!E24</f>
        <v>2</v>
      </c>
      <c r="AA11">
        <f>Spielplan!L27</f>
        <v>0</v>
      </c>
      <c r="AB11">
        <f>Spielplan!M27</f>
        <v>1</v>
      </c>
      <c r="AC11">
        <f>Spielplan!O27</f>
        <v>8</v>
      </c>
    </row>
  </sheetData>
  <sortState ref="A5:AC11">
    <sortCondition descending="1" ref="D5"/>
  </sortState>
  <mergeCells count="8">
    <mergeCell ref="AA3:AC3"/>
    <mergeCell ref="I3:K3"/>
    <mergeCell ref="A1:AC1"/>
    <mergeCell ref="L3:N3"/>
    <mergeCell ref="O3:Q3"/>
    <mergeCell ref="R3:T3"/>
    <mergeCell ref="U3:W3"/>
    <mergeCell ref="X3:Z3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hotoDeluxeBusiness.Image.1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923925</xdr:colOff>
                <xdr:row>1</xdr:row>
                <xdr:rowOff>152400</xdr:rowOff>
              </to>
            </anchor>
          </objectPr>
        </oleObject>
      </mc:Choice>
      <mc:Fallback>
        <oleObject progId="PhotoDeluxeBusiness.Image.1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"/>
  <sheetViews>
    <sheetView workbookViewId="0">
      <selection activeCell="D7" sqref="D7"/>
    </sheetView>
  </sheetViews>
  <sheetFormatPr baseColWidth="10" defaultColWidth="11.5546875" defaultRowHeight="15" x14ac:dyDescent="0.2"/>
  <cols>
    <col min="1" max="1" width="3.77734375" customWidth="1"/>
    <col min="2" max="2" width="20.77734375" customWidth="1"/>
    <col min="3" max="8" width="3.77734375" customWidth="1"/>
    <col min="9" max="11" width="4.33203125" hidden="1" customWidth="1"/>
    <col min="12" max="32" width="3.33203125" customWidth="1"/>
  </cols>
  <sheetData>
    <row r="1" spans="1:32" ht="60" customHeight="1" x14ac:dyDescent="0.3">
      <c r="A1" s="41" t="s">
        <v>65</v>
      </c>
      <c r="B1" s="42"/>
      <c r="C1" s="42"/>
      <c r="D1" s="42"/>
      <c r="E1" s="42"/>
      <c r="F1" s="42"/>
      <c r="G1" s="42"/>
      <c r="H1" s="42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15.75" thickBot="1" x14ac:dyDescent="0.25"/>
    <row r="3" spans="1:32" ht="16.5" thickBot="1" x14ac:dyDescent="0.3">
      <c r="I3" s="43" t="s">
        <v>60</v>
      </c>
      <c r="J3" s="43"/>
      <c r="K3" s="44"/>
      <c r="L3" s="38" t="s">
        <v>17</v>
      </c>
      <c r="M3" s="38"/>
      <c r="N3" s="38"/>
      <c r="O3" s="38" t="s">
        <v>20</v>
      </c>
      <c r="P3" s="38"/>
      <c r="Q3" s="38"/>
      <c r="R3" s="38" t="s">
        <v>21</v>
      </c>
      <c r="S3" s="38"/>
      <c r="T3" s="38"/>
      <c r="U3" s="38" t="s">
        <v>22</v>
      </c>
      <c r="V3" s="38"/>
      <c r="W3" s="38"/>
      <c r="X3" s="38" t="s">
        <v>23</v>
      </c>
      <c r="Y3" s="38"/>
      <c r="Z3" s="38"/>
      <c r="AA3" s="38" t="s">
        <v>24</v>
      </c>
      <c r="AB3" s="38"/>
      <c r="AC3" s="38"/>
      <c r="AD3" s="38" t="s">
        <v>25</v>
      </c>
      <c r="AE3" s="38"/>
      <c r="AF3" s="38"/>
    </row>
    <row r="4" spans="1:32" ht="15.75" x14ac:dyDescent="0.25">
      <c r="A4" s="23" t="s">
        <v>10</v>
      </c>
      <c r="B4" s="3" t="s">
        <v>9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7" t="s">
        <v>8</v>
      </c>
      <c r="J4" s="7" t="s">
        <v>61</v>
      </c>
      <c r="K4" s="7" t="s">
        <v>62</v>
      </c>
      <c r="L4" s="10" t="s">
        <v>8</v>
      </c>
      <c r="M4" s="11" t="s">
        <v>18</v>
      </c>
      <c r="N4" s="12" t="s">
        <v>19</v>
      </c>
      <c r="O4" s="10" t="s">
        <v>8</v>
      </c>
      <c r="P4" s="11" t="s">
        <v>18</v>
      </c>
      <c r="Q4" s="12" t="s">
        <v>19</v>
      </c>
      <c r="R4" s="10" t="s">
        <v>8</v>
      </c>
      <c r="S4" s="11" t="s">
        <v>18</v>
      </c>
      <c r="T4" s="12" t="s">
        <v>19</v>
      </c>
      <c r="U4" s="10" t="s">
        <v>8</v>
      </c>
      <c r="V4" s="11" t="s">
        <v>18</v>
      </c>
      <c r="W4" s="12" t="s">
        <v>19</v>
      </c>
      <c r="X4" s="10" t="s">
        <v>8</v>
      </c>
      <c r="Y4" s="11" t="s">
        <v>18</v>
      </c>
      <c r="Z4" s="12" t="s">
        <v>19</v>
      </c>
      <c r="AA4" s="10" t="s">
        <v>8</v>
      </c>
      <c r="AB4" s="11" t="s">
        <v>18</v>
      </c>
      <c r="AC4" s="12" t="s">
        <v>19</v>
      </c>
      <c r="AD4" s="10" t="s">
        <v>8</v>
      </c>
      <c r="AE4" s="11" t="s">
        <v>18</v>
      </c>
      <c r="AF4" s="12" t="s">
        <v>19</v>
      </c>
    </row>
    <row r="5" spans="1:32" x14ac:dyDescent="0.2">
      <c r="A5">
        <v>1</v>
      </c>
      <c r="B5" t="str">
        <f>Team_05</f>
        <v>Zürich 1</v>
      </c>
      <c r="C5">
        <f>COUNT(Spielplan!D6,Spielplan!H10,Spielplan!H12,Spielplan!D20,Spielplan!D26,Spielplan!P22,Spielplan!P29)</f>
        <v>7</v>
      </c>
      <c r="D5">
        <f>SUM(Punkte_Team_05)</f>
        <v>13</v>
      </c>
      <c r="E5">
        <f>SUM(Tore_Team_05)</f>
        <v>35</v>
      </c>
      <c r="F5">
        <f>SUM(eTore_Team_05)</f>
        <v>7</v>
      </c>
      <c r="G5">
        <f t="shared" ref="G5:G12" si="0">SUM(E5-F5)</f>
        <v>28</v>
      </c>
      <c r="H5">
        <f t="shared" ref="H5:H12" si="1">SUM(E5/F5)</f>
        <v>5</v>
      </c>
      <c r="I5" s="22">
        <f t="shared" ref="I5:K12" si="2">SUM(L5,O5,R5,U5,X5,AA5,AD5)</f>
        <v>13</v>
      </c>
      <c r="J5" s="22">
        <f t="shared" si="2"/>
        <v>35</v>
      </c>
      <c r="K5" s="22">
        <f t="shared" si="2"/>
        <v>7</v>
      </c>
      <c r="L5">
        <f>Spielplan!D6</f>
        <v>2</v>
      </c>
      <c r="M5">
        <f>Spielplan!E6</f>
        <v>9</v>
      </c>
      <c r="N5">
        <f>Spielplan!G6</f>
        <v>1</v>
      </c>
      <c r="O5">
        <f>Spielplan!H10</f>
        <v>2</v>
      </c>
      <c r="P5">
        <f>Spielplan!G10</f>
        <v>8</v>
      </c>
      <c r="Q5">
        <f>Spielplan!E10</f>
        <v>1</v>
      </c>
      <c r="R5">
        <f>Spielplan!H12</f>
        <v>2</v>
      </c>
      <c r="S5">
        <f>Spielplan!G12</f>
        <v>3</v>
      </c>
      <c r="T5">
        <f>Spielplan!E12</f>
        <v>2</v>
      </c>
      <c r="U5">
        <f>Spielplan!D20</f>
        <v>2</v>
      </c>
      <c r="V5">
        <f>Spielplan!E20</f>
        <v>5</v>
      </c>
      <c r="W5">
        <f>Spielplan!G20</f>
        <v>1</v>
      </c>
      <c r="X5">
        <f>Spielplan!P22</f>
        <v>2</v>
      </c>
      <c r="Y5">
        <f>Spielplan!O22</f>
        <v>7</v>
      </c>
      <c r="Z5">
        <f>Spielplan!M22</f>
        <v>0</v>
      </c>
      <c r="AA5">
        <f>Spielplan!D26</f>
        <v>1</v>
      </c>
      <c r="AB5">
        <f>Spielplan!E26</f>
        <v>1</v>
      </c>
      <c r="AC5">
        <f>Spielplan!G26</f>
        <v>1</v>
      </c>
      <c r="AD5">
        <f>Spielplan!P29</f>
        <v>2</v>
      </c>
      <c r="AE5">
        <f>Spielplan!O29</f>
        <v>2</v>
      </c>
      <c r="AF5">
        <f>Spielplan!M29</f>
        <v>1</v>
      </c>
    </row>
    <row r="6" spans="1:32" x14ac:dyDescent="0.2">
      <c r="A6">
        <v>2</v>
      </c>
      <c r="B6" t="str">
        <f>Team_01</f>
        <v>Tirol</v>
      </c>
      <c r="C6">
        <f>COUNT(Spielplan!D4,Spielplan!H8,Spielplan!D11,Spielplan!H14,Spielplan!P20,Spielplan!L24,Spielplan!L29)</f>
        <v>7</v>
      </c>
      <c r="D6">
        <f>SUM(Punkte_Team_01)</f>
        <v>12</v>
      </c>
      <c r="E6">
        <f>SUM(Tore_Team_01)</f>
        <v>33</v>
      </c>
      <c r="F6">
        <f>SUM(eTore_Team_01)</f>
        <v>10</v>
      </c>
      <c r="G6">
        <f t="shared" si="0"/>
        <v>23</v>
      </c>
      <c r="H6">
        <f t="shared" si="1"/>
        <v>3.3</v>
      </c>
      <c r="I6" s="22">
        <f t="shared" si="2"/>
        <v>12</v>
      </c>
      <c r="J6" s="22">
        <f t="shared" si="2"/>
        <v>33</v>
      </c>
      <c r="K6" s="22">
        <f t="shared" si="2"/>
        <v>10</v>
      </c>
      <c r="L6">
        <f>Spielplan!D4</f>
        <v>2</v>
      </c>
      <c r="M6">
        <f>Spielplan!E4</f>
        <v>5</v>
      </c>
      <c r="N6">
        <f>Spielplan!G4</f>
        <v>0</v>
      </c>
      <c r="O6">
        <f>Spielplan!H8</f>
        <v>2</v>
      </c>
      <c r="P6">
        <f>Spielplan!G8</f>
        <v>6</v>
      </c>
      <c r="Q6">
        <f>Spielplan!E8</f>
        <v>3</v>
      </c>
      <c r="R6">
        <f>Spielplan!D11</f>
        <v>2</v>
      </c>
      <c r="S6">
        <f>Spielplan!E11</f>
        <v>6</v>
      </c>
      <c r="T6">
        <f>Spielplan!G11</f>
        <v>0</v>
      </c>
      <c r="U6">
        <f>Spielplan!H14</f>
        <v>2</v>
      </c>
      <c r="V6">
        <f>Spielplan!G14</f>
        <v>6</v>
      </c>
      <c r="W6">
        <f>Spielplan!E14</f>
        <v>0</v>
      </c>
      <c r="X6">
        <f>Spielplan!P20</f>
        <v>2</v>
      </c>
      <c r="Y6">
        <f>Spielplan!O20</f>
        <v>4</v>
      </c>
      <c r="Z6">
        <f>Spielplan!M20</f>
        <v>2</v>
      </c>
      <c r="AA6">
        <f>Spielplan!L24</f>
        <v>2</v>
      </c>
      <c r="AB6">
        <f>Spielplan!M24</f>
        <v>5</v>
      </c>
      <c r="AC6">
        <f>Spielplan!O24</f>
        <v>3</v>
      </c>
      <c r="AD6">
        <f>Spielplan!L29</f>
        <v>0</v>
      </c>
      <c r="AE6">
        <f>Spielplan!M29</f>
        <v>1</v>
      </c>
      <c r="AF6">
        <f>Spielplan!O29</f>
        <v>2</v>
      </c>
    </row>
    <row r="7" spans="1:32" x14ac:dyDescent="0.2">
      <c r="A7">
        <v>3</v>
      </c>
      <c r="B7" t="str">
        <f>Team_03</f>
        <v>CŠT ZPM - LEVOČA</v>
      </c>
      <c r="C7">
        <f>COUNT(Spielplan!P5,Spielplan!D8,Spielplan!L14,Spielplan!L17,Spielplan!H20,Spielplan!L23,Spielplan!H28)</f>
        <v>7</v>
      </c>
      <c r="D7">
        <f>SUM(Punkte_Team_03)</f>
        <v>8</v>
      </c>
      <c r="E7">
        <f>SUM(Tore_Team_03)</f>
        <v>28</v>
      </c>
      <c r="F7">
        <f>SUM(eTore_Team_03)</f>
        <v>22</v>
      </c>
      <c r="G7">
        <f t="shared" si="0"/>
        <v>6</v>
      </c>
      <c r="H7">
        <f t="shared" si="1"/>
        <v>1.2727272727272727</v>
      </c>
      <c r="I7" s="22">
        <f t="shared" si="2"/>
        <v>8</v>
      </c>
      <c r="J7" s="22">
        <f t="shared" si="2"/>
        <v>28</v>
      </c>
      <c r="K7" s="22">
        <f t="shared" si="2"/>
        <v>22</v>
      </c>
      <c r="L7">
        <f>Spielplan!P5</f>
        <v>0</v>
      </c>
      <c r="M7">
        <f>Spielplan!O5</f>
        <v>2</v>
      </c>
      <c r="N7">
        <f>Spielplan!M5</f>
        <v>4</v>
      </c>
      <c r="O7">
        <f>Spielplan!D8</f>
        <v>0</v>
      </c>
      <c r="P7">
        <f>Spielplan!E8</f>
        <v>3</v>
      </c>
      <c r="Q7">
        <f>Spielplan!G8</f>
        <v>6</v>
      </c>
      <c r="R7">
        <f>Spielplan!L14</f>
        <v>2</v>
      </c>
      <c r="S7">
        <f>Spielplan!M14</f>
        <v>6</v>
      </c>
      <c r="T7">
        <f>Spielplan!O14</f>
        <v>4</v>
      </c>
      <c r="U7">
        <f>Spielplan!L17</f>
        <v>2</v>
      </c>
      <c r="V7">
        <f>Spielplan!M17</f>
        <v>5</v>
      </c>
      <c r="W7">
        <f>Spielplan!O17</f>
        <v>2</v>
      </c>
      <c r="X7">
        <f>Spielplan!H20</f>
        <v>0</v>
      </c>
      <c r="Y7">
        <f>Spielplan!G20</f>
        <v>1</v>
      </c>
      <c r="Z7">
        <f>Spielplan!E20</f>
        <v>5</v>
      </c>
      <c r="AA7">
        <f>Spielplan!L23</f>
        <v>2</v>
      </c>
      <c r="AB7">
        <f>Spielplan!M23</f>
        <v>5</v>
      </c>
      <c r="AC7">
        <f>Spielplan!O23</f>
        <v>1</v>
      </c>
      <c r="AD7">
        <f>Spielplan!H28</f>
        <v>2</v>
      </c>
      <c r="AE7">
        <f>Spielplan!G28</f>
        <v>6</v>
      </c>
      <c r="AF7">
        <f>Spielplan!E28</f>
        <v>0</v>
      </c>
    </row>
    <row r="8" spans="1:32" x14ac:dyDescent="0.2">
      <c r="A8">
        <v>4</v>
      </c>
      <c r="B8" t="str">
        <f>Team_02</f>
        <v>VBSC Vorarlberg Jugend</v>
      </c>
      <c r="C8">
        <f>COUNT(Spielplan!H4,Spielplan!L7,Spielplan!D12,Spielplan!H15,Spielplan!L18,Spielplan!P23,Spielplan!P28)</f>
        <v>7</v>
      </c>
      <c r="D8">
        <f>SUM(Punkte_Team_02)</f>
        <v>6</v>
      </c>
      <c r="E8">
        <f>SUM(Tore_Team_02)</f>
        <v>24</v>
      </c>
      <c r="F8">
        <f>SUM(eTore_Team_02)</f>
        <v>27</v>
      </c>
      <c r="G8">
        <f t="shared" si="0"/>
        <v>-3</v>
      </c>
      <c r="H8">
        <f t="shared" si="1"/>
        <v>0.88888888888888884</v>
      </c>
      <c r="I8" s="22">
        <f t="shared" si="2"/>
        <v>6</v>
      </c>
      <c r="J8" s="22">
        <f t="shared" si="2"/>
        <v>24</v>
      </c>
      <c r="K8" s="22">
        <f t="shared" si="2"/>
        <v>27</v>
      </c>
      <c r="L8">
        <f>Spielplan!H4</f>
        <v>0</v>
      </c>
      <c r="M8">
        <f>Spielplan!G4</f>
        <v>0</v>
      </c>
      <c r="N8">
        <f>Spielplan!E4</f>
        <v>5</v>
      </c>
      <c r="O8">
        <f>Spielplan!L7</f>
        <v>2</v>
      </c>
      <c r="P8">
        <f>Spielplan!M7</f>
        <v>6</v>
      </c>
      <c r="Q8">
        <f>Spielplan!O7</f>
        <v>4</v>
      </c>
      <c r="R8">
        <f>Spielplan!D12</f>
        <v>0</v>
      </c>
      <c r="S8">
        <f>Spielplan!E12</f>
        <v>2</v>
      </c>
      <c r="T8">
        <f>Spielplan!G12</f>
        <v>3</v>
      </c>
      <c r="U8">
        <f>Spielplan!H15</f>
        <v>2</v>
      </c>
      <c r="V8">
        <f>Spielplan!G15</f>
        <v>3</v>
      </c>
      <c r="W8">
        <f>Spielplan!E15</f>
        <v>2</v>
      </c>
      <c r="X8">
        <f>Spielplan!L18</f>
        <v>2</v>
      </c>
      <c r="Y8">
        <f>Spielplan!M18</f>
        <v>9</v>
      </c>
      <c r="Z8">
        <f>Spielplan!O18</f>
        <v>3</v>
      </c>
      <c r="AA8">
        <f>Spielplan!P23</f>
        <v>0</v>
      </c>
      <c r="AB8">
        <f>Spielplan!O23</f>
        <v>1</v>
      </c>
      <c r="AC8">
        <f>Spielplan!M23</f>
        <v>5</v>
      </c>
      <c r="AD8">
        <f>Spielplan!P28</f>
        <v>0</v>
      </c>
      <c r="AE8">
        <f>Spielplan!O28</f>
        <v>3</v>
      </c>
      <c r="AF8">
        <f>Spielplan!M28</f>
        <v>5</v>
      </c>
    </row>
    <row r="9" spans="1:32" x14ac:dyDescent="0.2">
      <c r="A9">
        <v>5</v>
      </c>
      <c r="B9" t="str">
        <f>Team_08</f>
        <v>Zollikofen 1</v>
      </c>
      <c r="C9">
        <f>COUNT(Spielplan!L4,Spielplan!P7,Spielplan!D10,Spielplan!P14,Spielplan!H17,Spielplan!D21,Spielplan!P24)</f>
        <v>7</v>
      </c>
      <c r="D9">
        <f>SUM(Punkte_Team_08)</f>
        <v>5</v>
      </c>
      <c r="E9">
        <f>SUM(Tore_Team_08)</f>
        <v>25</v>
      </c>
      <c r="F9">
        <f>SUM(eTore_Team_08)</f>
        <v>33</v>
      </c>
      <c r="G9">
        <f t="shared" si="0"/>
        <v>-8</v>
      </c>
      <c r="H9">
        <f t="shared" si="1"/>
        <v>0.75757575757575757</v>
      </c>
      <c r="I9" s="22">
        <f t="shared" si="2"/>
        <v>5</v>
      </c>
      <c r="J9" s="22">
        <f t="shared" si="2"/>
        <v>25</v>
      </c>
      <c r="K9" s="22">
        <f t="shared" si="2"/>
        <v>33</v>
      </c>
      <c r="L9">
        <f>Spielplan!L4</f>
        <v>1</v>
      </c>
      <c r="M9">
        <f>Spielplan!M4</f>
        <v>2</v>
      </c>
      <c r="N9">
        <f>Spielplan!O4</f>
        <v>2</v>
      </c>
      <c r="O9">
        <f>Spielplan!P7</f>
        <v>0</v>
      </c>
      <c r="P9">
        <f>Spielplan!O7</f>
        <v>4</v>
      </c>
      <c r="Q9">
        <f>Spielplan!M7</f>
        <v>6</v>
      </c>
      <c r="R9">
        <f>Spielplan!D10</f>
        <v>0</v>
      </c>
      <c r="S9">
        <f>Spielplan!E10</f>
        <v>1</v>
      </c>
      <c r="T9">
        <f>Spielplan!G10</f>
        <v>8</v>
      </c>
      <c r="U9">
        <f>Spielplan!P14</f>
        <v>0</v>
      </c>
      <c r="V9">
        <f>Spielplan!O14</f>
        <v>4</v>
      </c>
      <c r="W9">
        <f>Spielplan!M14</f>
        <v>6</v>
      </c>
      <c r="X9">
        <f>Spielplan!H17</f>
        <v>2</v>
      </c>
      <c r="Y9">
        <f>Spielplan!G17</f>
        <v>6</v>
      </c>
      <c r="Z9">
        <f>Spielplan!E17</f>
        <v>3</v>
      </c>
      <c r="AA9">
        <f>Spielplan!D21</f>
        <v>2</v>
      </c>
      <c r="AB9">
        <f>Spielplan!E21</f>
        <v>5</v>
      </c>
      <c r="AC9">
        <f>Spielplan!G21</f>
        <v>3</v>
      </c>
      <c r="AD9">
        <f>Spielplan!P24</f>
        <v>0</v>
      </c>
      <c r="AE9">
        <f>Spielplan!O24</f>
        <v>3</v>
      </c>
      <c r="AF9">
        <f>Spielplan!M24</f>
        <v>5</v>
      </c>
    </row>
    <row r="10" spans="1:32" x14ac:dyDescent="0.2">
      <c r="A10">
        <v>6</v>
      </c>
      <c r="B10" t="str">
        <f>Team_06</f>
        <v>Baar 2</v>
      </c>
      <c r="C10">
        <f>COUNT(Spielplan!H6,Spielplan!P11,Spielplan!D14,Spielplan!P18,Spielplan!H21,Spielplan!L25,Spielplan!D28)</f>
        <v>7</v>
      </c>
      <c r="D10">
        <f>SUM(Punkte_Team_06)</f>
        <v>4</v>
      </c>
      <c r="E10">
        <f>SUM(Tore_Team_06)</f>
        <v>16</v>
      </c>
      <c r="F10">
        <f>SUM(eTore_Team_06)</f>
        <v>38</v>
      </c>
      <c r="G10">
        <f t="shared" si="0"/>
        <v>-22</v>
      </c>
      <c r="H10">
        <f t="shared" si="1"/>
        <v>0.42105263157894735</v>
      </c>
      <c r="I10" s="22">
        <f t="shared" si="2"/>
        <v>4</v>
      </c>
      <c r="J10" s="22">
        <f t="shared" si="2"/>
        <v>16</v>
      </c>
      <c r="K10" s="22">
        <f t="shared" si="2"/>
        <v>38</v>
      </c>
      <c r="L10">
        <f>Spielplan!H6</f>
        <v>0</v>
      </c>
      <c r="M10">
        <f>Spielplan!G6</f>
        <v>1</v>
      </c>
      <c r="N10">
        <f>Spielplan!E6</f>
        <v>9</v>
      </c>
      <c r="O10">
        <f>Spielplan!P11</f>
        <v>2</v>
      </c>
      <c r="P10">
        <f>Spielplan!O11</f>
        <v>5</v>
      </c>
      <c r="Q10">
        <f>Spielplan!M11</f>
        <v>0</v>
      </c>
      <c r="R10">
        <f>Spielplan!D14</f>
        <v>0</v>
      </c>
      <c r="S10">
        <f>Spielplan!E14</f>
        <v>0</v>
      </c>
      <c r="T10">
        <f>Spielplan!G14</f>
        <v>6</v>
      </c>
      <c r="U10">
        <f>Spielplan!P18</f>
        <v>0</v>
      </c>
      <c r="V10">
        <f>Spielplan!O18</f>
        <v>3</v>
      </c>
      <c r="W10">
        <f>Spielplan!M18</f>
        <v>9</v>
      </c>
      <c r="X10">
        <f>Spielplan!H21</f>
        <v>0</v>
      </c>
      <c r="Y10">
        <f>Spielplan!G21</f>
        <v>3</v>
      </c>
      <c r="Z10">
        <f>Spielplan!E21</f>
        <v>5</v>
      </c>
      <c r="AA10">
        <f>Spielplan!L25</f>
        <v>2</v>
      </c>
      <c r="AB10">
        <f>Spielplan!M25</f>
        <v>4</v>
      </c>
      <c r="AC10">
        <f>Spielplan!O25</f>
        <v>3</v>
      </c>
      <c r="AD10">
        <f>Spielplan!D28</f>
        <v>0</v>
      </c>
      <c r="AE10">
        <f>Spielplan!E28</f>
        <v>0</v>
      </c>
      <c r="AF10">
        <f>Spielplan!G28</f>
        <v>6</v>
      </c>
    </row>
    <row r="11" spans="1:32" x14ac:dyDescent="0.2">
      <c r="A11">
        <v>7</v>
      </c>
      <c r="B11" t="str">
        <f>Team_07</f>
        <v>ANICES</v>
      </c>
      <c r="C11">
        <f>COUNT(Spielplan!P4,Spielplan!L8,Spielplan!L11,Spielplan!D15,Spielplan!P17,Spielplan!L20,Spielplan!H26)</f>
        <v>7</v>
      </c>
      <c r="D11">
        <f>SUM(Punkte_Team_07)</f>
        <v>4</v>
      </c>
      <c r="E11">
        <f>SUM(Tore_Team_07)</f>
        <v>14</v>
      </c>
      <c r="F11">
        <f>SUM(eTore_Team_07)</f>
        <v>24</v>
      </c>
      <c r="G11">
        <f t="shared" si="0"/>
        <v>-10</v>
      </c>
      <c r="H11">
        <f t="shared" si="1"/>
        <v>0.58333333333333337</v>
      </c>
      <c r="I11" s="22">
        <f t="shared" si="2"/>
        <v>4</v>
      </c>
      <c r="J11" s="22">
        <f t="shared" si="2"/>
        <v>14</v>
      </c>
      <c r="K11" s="22">
        <f t="shared" si="2"/>
        <v>24</v>
      </c>
      <c r="L11">
        <f>Spielplan!P4</f>
        <v>1</v>
      </c>
      <c r="M11">
        <f>Spielplan!O4</f>
        <v>2</v>
      </c>
      <c r="N11">
        <f>Spielplan!M4</f>
        <v>2</v>
      </c>
      <c r="O11">
        <f>Spielplan!L8</f>
        <v>2</v>
      </c>
      <c r="P11">
        <f>Spielplan!M8</f>
        <v>5</v>
      </c>
      <c r="Q11">
        <f>Spielplan!O8</f>
        <v>4</v>
      </c>
      <c r="R11">
        <f>Spielplan!L11</f>
        <v>0</v>
      </c>
      <c r="S11">
        <f>Spielplan!M11</f>
        <v>0</v>
      </c>
      <c r="T11">
        <f>Spielplan!O11</f>
        <v>5</v>
      </c>
      <c r="U11">
        <f>Spielplan!D15</f>
        <v>0</v>
      </c>
      <c r="V11">
        <f>Spielplan!E15</f>
        <v>2</v>
      </c>
      <c r="W11">
        <f>Spielplan!G15</f>
        <v>3</v>
      </c>
      <c r="X11">
        <f>Spielplan!P17</f>
        <v>0</v>
      </c>
      <c r="Y11">
        <f>Spielplan!O17</f>
        <v>2</v>
      </c>
      <c r="Z11">
        <f>Spielplan!M17</f>
        <v>5</v>
      </c>
      <c r="AA11">
        <f>Spielplan!L20</f>
        <v>0</v>
      </c>
      <c r="AB11">
        <f>Spielplan!M20</f>
        <v>2</v>
      </c>
      <c r="AC11">
        <f>Spielplan!O20</f>
        <v>4</v>
      </c>
      <c r="AD11">
        <f>Spielplan!H26</f>
        <v>1</v>
      </c>
      <c r="AE11">
        <f>Spielplan!G26</f>
        <v>1</v>
      </c>
      <c r="AF11">
        <f>Spielplan!E26</f>
        <v>1</v>
      </c>
    </row>
    <row r="12" spans="1:32" x14ac:dyDescent="0.2">
      <c r="A12">
        <v>8</v>
      </c>
      <c r="B12" t="str">
        <f>Team_04</f>
        <v>Zürich 3</v>
      </c>
      <c r="C12">
        <f>COUNT(Spielplan!L5,Spielplan!P8,Spielplan!H11,Spielplan!D17,Spielplan!L22,Spielplan!P25,Spielplan!L28)</f>
        <v>7</v>
      </c>
      <c r="D12">
        <f>SUM(Punkte_Team_04)</f>
        <v>4</v>
      </c>
      <c r="E12">
        <f>SUM(Tore_Team_04)</f>
        <v>19</v>
      </c>
      <c r="F12">
        <f>SUM(eTore_Team_04)</f>
        <v>33</v>
      </c>
      <c r="G12">
        <f t="shared" si="0"/>
        <v>-14</v>
      </c>
      <c r="H12">
        <f t="shared" si="1"/>
        <v>0.5757575757575758</v>
      </c>
      <c r="I12" s="22">
        <f t="shared" si="2"/>
        <v>4</v>
      </c>
      <c r="J12" s="22">
        <f t="shared" si="2"/>
        <v>19</v>
      </c>
      <c r="K12" s="22">
        <f t="shared" si="2"/>
        <v>33</v>
      </c>
      <c r="L12">
        <f>Spielplan!L5</f>
        <v>2</v>
      </c>
      <c r="M12">
        <f>Spielplan!M5</f>
        <v>4</v>
      </c>
      <c r="N12">
        <f>Spielplan!O5</f>
        <v>2</v>
      </c>
      <c r="O12">
        <f>Spielplan!P8</f>
        <v>0</v>
      </c>
      <c r="P12">
        <f>Spielplan!O8</f>
        <v>4</v>
      </c>
      <c r="Q12">
        <f>Spielplan!M8</f>
        <v>5</v>
      </c>
      <c r="R12">
        <f>Spielplan!H11</f>
        <v>0</v>
      </c>
      <c r="S12">
        <f>Spielplan!G11</f>
        <v>0</v>
      </c>
      <c r="T12">
        <f>Spielplan!E11</f>
        <v>6</v>
      </c>
      <c r="U12">
        <f>Spielplan!D17</f>
        <v>0</v>
      </c>
      <c r="V12">
        <f>Spielplan!E17</f>
        <v>3</v>
      </c>
      <c r="W12">
        <f>Spielplan!G17</f>
        <v>6</v>
      </c>
      <c r="X12">
        <f>Spielplan!L22</f>
        <v>0</v>
      </c>
      <c r="Y12">
        <f>Spielplan!M22</f>
        <v>0</v>
      </c>
      <c r="Z12">
        <f>Spielplan!O22</f>
        <v>7</v>
      </c>
      <c r="AA12">
        <f>Spielplan!P25</f>
        <v>0</v>
      </c>
      <c r="AB12">
        <f>Spielplan!O25</f>
        <v>3</v>
      </c>
      <c r="AC12">
        <f>Spielplan!M25</f>
        <v>4</v>
      </c>
      <c r="AD12">
        <f>Spielplan!L28</f>
        <v>2</v>
      </c>
      <c r="AE12">
        <f>Spielplan!M28</f>
        <v>5</v>
      </c>
      <c r="AF12">
        <f>Spielplan!O28</f>
        <v>3</v>
      </c>
    </row>
  </sheetData>
  <sortState ref="A5:AF12">
    <sortCondition descending="1" ref="D9"/>
  </sortState>
  <mergeCells count="9">
    <mergeCell ref="I3:K3"/>
    <mergeCell ref="A1:AF1"/>
    <mergeCell ref="AD3:AF3"/>
    <mergeCell ref="L3:N3"/>
    <mergeCell ref="O3:Q3"/>
    <mergeCell ref="R3:T3"/>
    <mergeCell ref="U3:W3"/>
    <mergeCell ref="X3:Z3"/>
    <mergeCell ref="AA3:AC3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hotoDeluxeBusiness.Image.1" shapeId="307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923925</xdr:colOff>
                <xdr:row>1</xdr:row>
                <xdr:rowOff>152400</xdr:rowOff>
              </to>
            </anchor>
          </objectPr>
        </oleObject>
      </mc:Choice>
      <mc:Fallback>
        <oleObject progId="PhotoDeluxeBusiness.Image.1" shapeId="307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7"/>
  <sheetViews>
    <sheetView topLeftCell="A19" workbookViewId="0">
      <selection activeCell="B34" sqref="B34"/>
    </sheetView>
  </sheetViews>
  <sheetFormatPr baseColWidth="10" defaultColWidth="11.5546875" defaultRowHeight="15" x14ac:dyDescent="0.2"/>
  <cols>
    <col min="1" max="1" width="3.77734375" customWidth="1"/>
    <col min="2" max="2" width="20.77734375" customWidth="1"/>
    <col min="3" max="8" width="3.77734375" customWidth="1"/>
    <col min="9" max="11" width="4.33203125" hidden="1" customWidth="1"/>
    <col min="12" max="32" width="3.33203125" customWidth="1"/>
  </cols>
  <sheetData>
    <row r="1" spans="1:32" ht="60" customHeight="1" x14ac:dyDescent="0.3">
      <c r="A1" s="41" t="s">
        <v>88</v>
      </c>
      <c r="B1" s="42"/>
      <c r="C1" s="42"/>
      <c r="D1" s="42"/>
      <c r="E1" s="42"/>
      <c r="F1" s="42"/>
      <c r="G1" s="42"/>
      <c r="H1" s="42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15.75" thickBot="1" x14ac:dyDescent="0.25"/>
    <row r="3" spans="1:32" ht="16.5" thickBot="1" x14ac:dyDescent="0.3">
      <c r="I3" s="43" t="s">
        <v>60</v>
      </c>
      <c r="J3" s="43"/>
      <c r="K3" s="44"/>
      <c r="L3" s="38" t="s">
        <v>17</v>
      </c>
      <c r="M3" s="38"/>
      <c r="N3" s="38"/>
      <c r="O3" s="38" t="s">
        <v>20</v>
      </c>
      <c r="P3" s="38"/>
      <c r="Q3" s="38"/>
      <c r="R3" s="38" t="s">
        <v>21</v>
      </c>
      <c r="S3" s="38"/>
      <c r="T3" s="38"/>
      <c r="U3" s="38" t="s">
        <v>22</v>
      </c>
      <c r="V3" s="38"/>
      <c r="W3" s="38"/>
      <c r="X3" s="38" t="s">
        <v>23</v>
      </c>
      <c r="Y3" s="38"/>
      <c r="Z3" s="38"/>
      <c r="AA3" s="38" t="s">
        <v>24</v>
      </c>
      <c r="AB3" s="38"/>
      <c r="AC3" s="38"/>
      <c r="AD3" s="38" t="s">
        <v>25</v>
      </c>
      <c r="AE3" s="38"/>
      <c r="AF3" s="38"/>
    </row>
    <row r="4" spans="1:32" ht="15.75" x14ac:dyDescent="0.25">
      <c r="A4" s="23" t="s">
        <v>10</v>
      </c>
      <c r="B4" s="3" t="s">
        <v>9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7" t="s">
        <v>8</v>
      </c>
      <c r="J4" s="7" t="s">
        <v>61</v>
      </c>
      <c r="K4" s="7" t="s">
        <v>62</v>
      </c>
      <c r="L4" s="10" t="s">
        <v>8</v>
      </c>
      <c r="M4" s="11" t="s">
        <v>18</v>
      </c>
      <c r="N4" s="12" t="s">
        <v>19</v>
      </c>
      <c r="O4" s="10" t="s">
        <v>8</v>
      </c>
      <c r="P4" s="11" t="s">
        <v>18</v>
      </c>
      <c r="Q4" s="12" t="s">
        <v>19</v>
      </c>
      <c r="R4" s="10" t="s">
        <v>8</v>
      </c>
      <c r="S4" s="11" t="s">
        <v>18</v>
      </c>
      <c r="T4" s="12" t="s">
        <v>19</v>
      </c>
      <c r="U4" s="10" t="s">
        <v>8</v>
      </c>
      <c r="V4" s="11" t="s">
        <v>18</v>
      </c>
      <c r="W4" s="12" t="s">
        <v>19</v>
      </c>
      <c r="X4" s="10" t="s">
        <v>8</v>
      </c>
      <c r="Y4" s="11" t="s">
        <v>18</v>
      </c>
      <c r="Z4" s="12" t="s">
        <v>19</v>
      </c>
      <c r="AA4" s="10" t="s">
        <v>8</v>
      </c>
      <c r="AB4" s="11" t="s">
        <v>18</v>
      </c>
      <c r="AC4" s="12" t="s">
        <v>19</v>
      </c>
      <c r="AD4" s="10" t="s">
        <v>8</v>
      </c>
      <c r="AE4" s="11" t="s">
        <v>18</v>
      </c>
      <c r="AF4" s="12" t="s">
        <v>19</v>
      </c>
    </row>
    <row r="5" spans="1:32" x14ac:dyDescent="0.2">
      <c r="A5">
        <v>1</v>
      </c>
      <c r="B5" t="str">
        <f>Team_05</f>
        <v>Zürich 1</v>
      </c>
      <c r="C5">
        <f>COUNT(Spielplan!D6,Spielplan!H10,Spielplan!H12,Spielplan!D20,Spielplan!D26,Spielplan!P22,Spielplan!P29)</f>
        <v>7</v>
      </c>
      <c r="D5">
        <f>SUM(Punkte_Team_05)</f>
        <v>13</v>
      </c>
      <c r="E5">
        <f>SUM(Tore_Team_05)</f>
        <v>35</v>
      </c>
      <c r="F5">
        <f>SUM(eTore_Team_05)</f>
        <v>7</v>
      </c>
      <c r="G5">
        <f t="shared" ref="G5:G12" si="0">SUM(E5-F5)</f>
        <v>28</v>
      </c>
      <c r="H5">
        <f t="shared" ref="H5:H12" si="1">SUM(E5/F5)</f>
        <v>5</v>
      </c>
      <c r="I5" s="22">
        <f t="shared" ref="I5:K12" si="2">SUM(L5,O5,R5,U5,X5,AA5,AD5)</f>
        <v>13</v>
      </c>
      <c r="J5" s="22">
        <f t="shared" si="2"/>
        <v>35</v>
      </c>
      <c r="K5" s="22">
        <f t="shared" si="2"/>
        <v>7</v>
      </c>
      <c r="L5">
        <f>Spielplan!D6</f>
        <v>2</v>
      </c>
      <c r="M5">
        <f>Spielplan!E6</f>
        <v>9</v>
      </c>
      <c r="N5">
        <f>Spielplan!G6</f>
        <v>1</v>
      </c>
      <c r="O5">
        <f>Spielplan!H10</f>
        <v>2</v>
      </c>
      <c r="P5">
        <f>Spielplan!G10</f>
        <v>8</v>
      </c>
      <c r="Q5">
        <f>Spielplan!E10</f>
        <v>1</v>
      </c>
      <c r="R5">
        <f>Spielplan!H12</f>
        <v>2</v>
      </c>
      <c r="S5">
        <f>Spielplan!G12</f>
        <v>3</v>
      </c>
      <c r="T5">
        <f>Spielplan!E12</f>
        <v>2</v>
      </c>
      <c r="U5">
        <f>Spielplan!D20</f>
        <v>2</v>
      </c>
      <c r="V5">
        <f>Spielplan!E20</f>
        <v>5</v>
      </c>
      <c r="W5">
        <f>Spielplan!G20</f>
        <v>1</v>
      </c>
      <c r="X5">
        <f>Spielplan!P22</f>
        <v>2</v>
      </c>
      <c r="Y5">
        <f>Spielplan!O22</f>
        <v>7</v>
      </c>
      <c r="Z5">
        <f>Spielplan!M22</f>
        <v>0</v>
      </c>
      <c r="AA5">
        <f>Spielplan!D26</f>
        <v>1</v>
      </c>
      <c r="AB5">
        <f>Spielplan!E26</f>
        <v>1</v>
      </c>
      <c r="AC5">
        <f>Spielplan!G26</f>
        <v>1</v>
      </c>
      <c r="AD5">
        <f>Spielplan!P29</f>
        <v>2</v>
      </c>
      <c r="AE5">
        <f>Spielplan!O29</f>
        <v>2</v>
      </c>
      <c r="AF5">
        <f>Spielplan!M29</f>
        <v>1</v>
      </c>
    </row>
    <row r="6" spans="1:32" x14ac:dyDescent="0.2">
      <c r="A6">
        <v>2</v>
      </c>
      <c r="B6" t="str">
        <f>Team_01</f>
        <v>Tirol</v>
      </c>
      <c r="C6">
        <f>COUNT(Spielplan!D4,Spielplan!H8,Spielplan!D11,Spielplan!H14,Spielplan!P20,Spielplan!L24,Spielplan!L29)</f>
        <v>7</v>
      </c>
      <c r="D6">
        <f>SUM(Punkte_Team_01)</f>
        <v>12</v>
      </c>
      <c r="E6">
        <f>SUM(Tore_Team_01)</f>
        <v>33</v>
      </c>
      <c r="F6">
        <f>SUM(eTore_Team_01)</f>
        <v>10</v>
      </c>
      <c r="G6">
        <f t="shared" si="0"/>
        <v>23</v>
      </c>
      <c r="H6">
        <f t="shared" si="1"/>
        <v>3.3</v>
      </c>
      <c r="I6" s="22">
        <f t="shared" si="2"/>
        <v>12</v>
      </c>
      <c r="J6" s="22">
        <f t="shared" si="2"/>
        <v>33</v>
      </c>
      <c r="K6" s="22">
        <f t="shared" si="2"/>
        <v>10</v>
      </c>
      <c r="L6">
        <f>Spielplan!D4</f>
        <v>2</v>
      </c>
      <c r="M6">
        <f>Spielplan!E4</f>
        <v>5</v>
      </c>
      <c r="N6">
        <f>Spielplan!G4</f>
        <v>0</v>
      </c>
      <c r="O6">
        <f>Spielplan!H8</f>
        <v>2</v>
      </c>
      <c r="P6">
        <f>Spielplan!G8</f>
        <v>6</v>
      </c>
      <c r="Q6">
        <f>Spielplan!E8</f>
        <v>3</v>
      </c>
      <c r="R6">
        <f>Spielplan!D11</f>
        <v>2</v>
      </c>
      <c r="S6">
        <f>Spielplan!E11</f>
        <v>6</v>
      </c>
      <c r="T6">
        <f>Spielplan!G11</f>
        <v>0</v>
      </c>
      <c r="U6">
        <f>Spielplan!H14</f>
        <v>2</v>
      </c>
      <c r="V6">
        <f>Spielplan!G14</f>
        <v>6</v>
      </c>
      <c r="W6">
        <f>Spielplan!E14</f>
        <v>0</v>
      </c>
      <c r="X6">
        <f>Spielplan!P20</f>
        <v>2</v>
      </c>
      <c r="Y6">
        <f>Spielplan!O20</f>
        <v>4</v>
      </c>
      <c r="Z6">
        <f>Spielplan!M20</f>
        <v>2</v>
      </c>
      <c r="AA6">
        <f>Spielplan!L24</f>
        <v>2</v>
      </c>
      <c r="AB6">
        <f>Spielplan!M24</f>
        <v>5</v>
      </c>
      <c r="AC6">
        <f>Spielplan!O24</f>
        <v>3</v>
      </c>
      <c r="AD6">
        <f>Spielplan!L29</f>
        <v>0</v>
      </c>
      <c r="AE6">
        <f>Spielplan!M29</f>
        <v>1</v>
      </c>
      <c r="AF6">
        <f>Spielplan!O29</f>
        <v>2</v>
      </c>
    </row>
    <row r="7" spans="1:32" x14ac:dyDescent="0.2">
      <c r="A7">
        <v>3</v>
      </c>
      <c r="B7" t="str">
        <f>Team_03</f>
        <v>CŠT ZPM - LEVOČA</v>
      </c>
      <c r="C7">
        <f>COUNT(Spielplan!P5,Spielplan!D8,Spielplan!L14,Spielplan!L17,Spielplan!H20,Spielplan!L23,Spielplan!H28)</f>
        <v>7</v>
      </c>
      <c r="D7">
        <f>SUM(Punkte_Team_03)</f>
        <v>8</v>
      </c>
      <c r="E7">
        <f>SUM(Tore_Team_03)</f>
        <v>28</v>
      </c>
      <c r="F7">
        <f>SUM(eTore_Team_03)</f>
        <v>22</v>
      </c>
      <c r="G7">
        <f t="shared" si="0"/>
        <v>6</v>
      </c>
      <c r="H7">
        <f t="shared" si="1"/>
        <v>1.2727272727272727</v>
      </c>
      <c r="I7" s="22">
        <f t="shared" si="2"/>
        <v>8</v>
      </c>
      <c r="J7" s="22">
        <f t="shared" si="2"/>
        <v>28</v>
      </c>
      <c r="K7" s="22">
        <f t="shared" si="2"/>
        <v>22</v>
      </c>
      <c r="L7">
        <f>Spielplan!P5</f>
        <v>0</v>
      </c>
      <c r="M7">
        <f>Spielplan!O5</f>
        <v>2</v>
      </c>
      <c r="N7">
        <f>Spielplan!M5</f>
        <v>4</v>
      </c>
      <c r="O7">
        <f>Spielplan!D8</f>
        <v>0</v>
      </c>
      <c r="P7">
        <f>Spielplan!E8</f>
        <v>3</v>
      </c>
      <c r="Q7">
        <f>Spielplan!G8</f>
        <v>6</v>
      </c>
      <c r="R7">
        <f>Spielplan!L14</f>
        <v>2</v>
      </c>
      <c r="S7">
        <f>Spielplan!M14</f>
        <v>6</v>
      </c>
      <c r="T7">
        <f>Spielplan!O14</f>
        <v>4</v>
      </c>
      <c r="U7">
        <f>Spielplan!L17</f>
        <v>2</v>
      </c>
      <c r="V7">
        <f>Spielplan!M17</f>
        <v>5</v>
      </c>
      <c r="W7">
        <f>Spielplan!O17</f>
        <v>2</v>
      </c>
      <c r="X7">
        <f>Spielplan!H20</f>
        <v>0</v>
      </c>
      <c r="Y7">
        <f>Spielplan!G20</f>
        <v>1</v>
      </c>
      <c r="Z7">
        <f>Spielplan!E20</f>
        <v>5</v>
      </c>
      <c r="AA7">
        <f>Spielplan!L23</f>
        <v>2</v>
      </c>
      <c r="AB7">
        <f>Spielplan!M23</f>
        <v>5</v>
      </c>
      <c r="AC7">
        <f>Spielplan!O23</f>
        <v>1</v>
      </c>
      <c r="AD7">
        <f>Spielplan!H28</f>
        <v>2</v>
      </c>
      <c r="AE7">
        <f>Spielplan!G28</f>
        <v>6</v>
      </c>
      <c r="AF7">
        <f>Spielplan!E28</f>
        <v>0</v>
      </c>
    </row>
    <row r="8" spans="1:32" x14ac:dyDescent="0.2">
      <c r="A8">
        <v>4</v>
      </c>
      <c r="B8" t="str">
        <f>Team_02</f>
        <v>VBSC Vorarlberg Jugend</v>
      </c>
      <c r="C8">
        <f>COUNT(Spielplan!H4,Spielplan!L7,Spielplan!D12,Spielplan!H15,Spielplan!L18,Spielplan!P23,Spielplan!P28)</f>
        <v>7</v>
      </c>
      <c r="D8">
        <f>SUM(Punkte_Team_02)</f>
        <v>6</v>
      </c>
      <c r="E8">
        <f>SUM(Tore_Team_02)</f>
        <v>24</v>
      </c>
      <c r="F8">
        <f>SUM(eTore_Team_02)</f>
        <v>27</v>
      </c>
      <c r="G8">
        <f t="shared" si="0"/>
        <v>-3</v>
      </c>
      <c r="H8">
        <f t="shared" si="1"/>
        <v>0.88888888888888884</v>
      </c>
      <c r="I8" s="22">
        <f t="shared" si="2"/>
        <v>6</v>
      </c>
      <c r="J8" s="22">
        <f t="shared" si="2"/>
        <v>24</v>
      </c>
      <c r="K8" s="22">
        <f t="shared" si="2"/>
        <v>27</v>
      </c>
      <c r="L8">
        <f>Spielplan!H4</f>
        <v>0</v>
      </c>
      <c r="M8">
        <f>Spielplan!G4</f>
        <v>0</v>
      </c>
      <c r="N8">
        <f>Spielplan!E4</f>
        <v>5</v>
      </c>
      <c r="O8">
        <f>Spielplan!L7</f>
        <v>2</v>
      </c>
      <c r="P8">
        <f>Spielplan!M7</f>
        <v>6</v>
      </c>
      <c r="Q8">
        <f>Spielplan!O7</f>
        <v>4</v>
      </c>
      <c r="R8">
        <f>Spielplan!D12</f>
        <v>0</v>
      </c>
      <c r="S8">
        <f>Spielplan!E12</f>
        <v>2</v>
      </c>
      <c r="T8">
        <f>Spielplan!G12</f>
        <v>3</v>
      </c>
      <c r="U8">
        <f>Spielplan!H15</f>
        <v>2</v>
      </c>
      <c r="V8">
        <f>Spielplan!G15</f>
        <v>3</v>
      </c>
      <c r="W8">
        <f>Spielplan!E15</f>
        <v>2</v>
      </c>
      <c r="X8">
        <f>Spielplan!L18</f>
        <v>2</v>
      </c>
      <c r="Y8">
        <f>Spielplan!M18</f>
        <v>9</v>
      </c>
      <c r="Z8">
        <f>Spielplan!O18</f>
        <v>3</v>
      </c>
      <c r="AA8">
        <f>Spielplan!P23</f>
        <v>0</v>
      </c>
      <c r="AB8">
        <f>Spielplan!O23</f>
        <v>1</v>
      </c>
      <c r="AC8">
        <f>Spielplan!M23</f>
        <v>5</v>
      </c>
      <c r="AD8">
        <f>Spielplan!P28</f>
        <v>0</v>
      </c>
      <c r="AE8">
        <f>Spielplan!O28</f>
        <v>3</v>
      </c>
      <c r="AF8">
        <f>Spielplan!M28</f>
        <v>5</v>
      </c>
    </row>
    <row r="9" spans="1:32" x14ac:dyDescent="0.2">
      <c r="A9">
        <v>5</v>
      </c>
      <c r="B9" t="str">
        <f>Team_08</f>
        <v>Zollikofen 1</v>
      </c>
      <c r="C9">
        <f>COUNT(Spielplan!L4,Spielplan!P7,Spielplan!D10,Spielplan!P14,Spielplan!H17,Spielplan!D21,Spielplan!P24)</f>
        <v>7</v>
      </c>
      <c r="D9">
        <f>SUM(Punkte_Team_08)</f>
        <v>5</v>
      </c>
      <c r="E9">
        <f>SUM(Tore_Team_08)</f>
        <v>25</v>
      </c>
      <c r="F9">
        <f>SUM(eTore_Team_08)</f>
        <v>33</v>
      </c>
      <c r="G9">
        <f t="shared" si="0"/>
        <v>-8</v>
      </c>
      <c r="H9">
        <f t="shared" si="1"/>
        <v>0.75757575757575757</v>
      </c>
      <c r="I9" s="22">
        <f t="shared" si="2"/>
        <v>5</v>
      </c>
      <c r="J9" s="22">
        <f t="shared" si="2"/>
        <v>25</v>
      </c>
      <c r="K9" s="22">
        <f t="shared" si="2"/>
        <v>33</v>
      </c>
      <c r="L9">
        <f>Spielplan!L4</f>
        <v>1</v>
      </c>
      <c r="M9">
        <f>Spielplan!M4</f>
        <v>2</v>
      </c>
      <c r="N9">
        <f>Spielplan!O4</f>
        <v>2</v>
      </c>
      <c r="O9">
        <f>Spielplan!P7</f>
        <v>0</v>
      </c>
      <c r="P9">
        <f>Spielplan!O7</f>
        <v>4</v>
      </c>
      <c r="Q9">
        <f>Spielplan!M7</f>
        <v>6</v>
      </c>
      <c r="R9">
        <f>Spielplan!D10</f>
        <v>0</v>
      </c>
      <c r="S9">
        <f>Spielplan!E10</f>
        <v>1</v>
      </c>
      <c r="T9">
        <f>Spielplan!G10</f>
        <v>8</v>
      </c>
      <c r="U9">
        <f>Spielplan!P14</f>
        <v>0</v>
      </c>
      <c r="V9">
        <f>Spielplan!O14</f>
        <v>4</v>
      </c>
      <c r="W9">
        <f>Spielplan!M14</f>
        <v>6</v>
      </c>
      <c r="X9">
        <f>Spielplan!H17</f>
        <v>2</v>
      </c>
      <c r="Y9">
        <f>Spielplan!G17</f>
        <v>6</v>
      </c>
      <c r="Z9">
        <f>Spielplan!E17</f>
        <v>3</v>
      </c>
      <c r="AA9">
        <f>Spielplan!D21</f>
        <v>2</v>
      </c>
      <c r="AB9">
        <f>Spielplan!E21</f>
        <v>5</v>
      </c>
      <c r="AC9">
        <f>Spielplan!G21</f>
        <v>3</v>
      </c>
      <c r="AD9">
        <f>Spielplan!P24</f>
        <v>0</v>
      </c>
      <c r="AE9">
        <f>Spielplan!O24</f>
        <v>3</v>
      </c>
      <c r="AF9">
        <f>Spielplan!M24</f>
        <v>5</v>
      </c>
    </row>
    <row r="10" spans="1:32" x14ac:dyDescent="0.2">
      <c r="A10">
        <v>6</v>
      </c>
      <c r="B10" t="str">
        <f>Team_06</f>
        <v>Baar 2</v>
      </c>
      <c r="C10">
        <f>COUNT(Spielplan!H6,Spielplan!P11,Spielplan!D14,Spielplan!P18,Spielplan!H21,Spielplan!L25,Spielplan!D28)</f>
        <v>7</v>
      </c>
      <c r="D10">
        <f>SUM(Punkte_Team_06)</f>
        <v>4</v>
      </c>
      <c r="E10">
        <f>SUM(Tore_Team_06)</f>
        <v>16</v>
      </c>
      <c r="F10">
        <f>SUM(eTore_Team_06)</f>
        <v>38</v>
      </c>
      <c r="G10">
        <f t="shared" si="0"/>
        <v>-22</v>
      </c>
      <c r="H10">
        <f t="shared" si="1"/>
        <v>0.42105263157894735</v>
      </c>
      <c r="I10" s="22">
        <f t="shared" si="2"/>
        <v>4</v>
      </c>
      <c r="J10" s="22">
        <f t="shared" si="2"/>
        <v>16</v>
      </c>
      <c r="K10" s="22">
        <f t="shared" si="2"/>
        <v>38</v>
      </c>
      <c r="L10">
        <f>Spielplan!H6</f>
        <v>0</v>
      </c>
      <c r="M10">
        <f>Spielplan!G6</f>
        <v>1</v>
      </c>
      <c r="N10">
        <f>Spielplan!E6</f>
        <v>9</v>
      </c>
      <c r="O10">
        <f>Spielplan!P11</f>
        <v>2</v>
      </c>
      <c r="P10">
        <f>Spielplan!O11</f>
        <v>5</v>
      </c>
      <c r="Q10">
        <f>Spielplan!M11</f>
        <v>0</v>
      </c>
      <c r="R10">
        <f>Spielplan!D14</f>
        <v>0</v>
      </c>
      <c r="S10">
        <f>Spielplan!E14</f>
        <v>0</v>
      </c>
      <c r="T10">
        <f>Spielplan!G14</f>
        <v>6</v>
      </c>
      <c r="U10">
        <f>Spielplan!P18</f>
        <v>0</v>
      </c>
      <c r="V10">
        <f>Spielplan!O18</f>
        <v>3</v>
      </c>
      <c r="W10">
        <f>Spielplan!M18</f>
        <v>9</v>
      </c>
      <c r="X10">
        <f>Spielplan!H21</f>
        <v>0</v>
      </c>
      <c r="Y10">
        <f>Spielplan!G21</f>
        <v>3</v>
      </c>
      <c r="Z10">
        <f>Spielplan!E21</f>
        <v>5</v>
      </c>
      <c r="AA10">
        <f>Spielplan!L25</f>
        <v>2</v>
      </c>
      <c r="AB10">
        <f>Spielplan!M25</f>
        <v>4</v>
      </c>
      <c r="AC10">
        <f>Spielplan!O25</f>
        <v>3</v>
      </c>
      <c r="AD10">
        <f>Spielplan!D28</f>
        <v>0</v>
      </c>
      <c r="AE10">
        <f>Spielplan!E28</f>
        <v>0</v>
      </c>
      <c r="AF10">
        <f>Spielplan!G28</f>
        <v>6</v>
      </c>
    </row>
    <row r="11" spans="1:32" x14ac:dyDescent="0.2">
      <c r="A11">
        <v>7</v>
      </c>
      <c r="B11" t="str">
        <f>Team_07</f>
        <v>ANICES</v>
      </c>
      <c r="C11">
        <f>COUNT(Spielplan!P4,Spielplan!L8,Spielplan!L11,Spielplan!D15,Spielplan!P17,Spielplan!L20,Spielplan!H26)</f>
        <v>7</v>
      </c>
      <c r="D11">
        <f>SUM(Punkte_Team_07)</f>
        <v>4</v>
      </c>
      <c r="E11">
        <f>SUM(Tore_Team_07)</f>
        <v>14</v>
      </c>
      <c r="F11">
        <f>SUM(eTore_Team_07)</f>
        <v>24</v>
      </c>
      <c r="G11">
        <f t="shared" si="0"/>
        <v>-10</v>
      </c>
      <c r="H11">
        <f t="shared" si="1"/>
        <v>0.58333333333333337</v>
      </c>
      <c r="I11" s="22">
        <f t="shared" si="2"/>
        <v>4</v>
      </c>
      <c r="J11" s="22">
        <f t="shared" si="2"/>
        <v>14</v>
      </c>
      <c r="K11" s="22">
        <f t="shared" si="2"/>
        <v>24</v>
      </c>
      <c r="L11">
        <f>Spielplan!P4</f>
        <v>1</v>
      </c>
      <c r="M11">
        <f>Spielplan!O4</f>
        <v>2</v>
      </c>
      <c r="N11">
        <f>Spielplan!M4</f>
        <v>2</v>
      </c>
      <c r="O11">
        <f>Spielplan!L8</f>
        <v>2</v>
      </c>
      <c r="P11">
        <f>Spielplan!M8</f>
        <v>5</v>
      </c>
      <c r="Q11">
        <f>Spielplan!O8</f>
        <v>4</v>
      </c>
      <c r="R11">
        <f>Spielplan!L11</f>
        <v>0</v>
      </c>
      <c r="S11">
        <f>Spielplan!M11</f>
        <v>0</v>
      </c>
      <c r="T11">
        <f>Spielplan!O11</f>
        <v>5</v>
      </c>
      <c r="U11">
        <f>Spielplan!D15</f>
        <v>0</v>
      </c>
      <c r="V11">
        <f>Spielplan!E15</f>
        <v>2</v>
      </c>
      <c r="W11">
        <f>Spielplan!G15</f>
        <v>3</v>
      </c>
      <c r="X11">
        <f>Spielplan!P17</f>
        <v>0</v>
      </c>
      <c r="Y11">
        <f>Spielplan!O17</f>
        <v>2</v>
      </c>
      <c r="Z11">
        <f>Spielplan!M17</f>
        <v>5</v>
      </c>
      <c r="AA11">
        <f>Spielplan!L20</f>
        <v>0</v>
      </c>
      <c r="AB11">
        <f>Spielplan!M20</f>
        <v>2</v>
      </c>
      <c r="AC11">
        <f>Spielplan!O20</f>
        <v>4</v>
      </c>
      <c r="AD11">
        <f>Spielplan!H26</f>
        <v>1</v>
      </c>
      <c r="AE11">
        <f>Spielplan!G26</f>
        <v>1</v>
      </c>
      <c r="AF11">
        <f>Spielplan!E26</f>
        <v>1</v>
      </c>
    </row>
    <row r="12" spans="1:32" x14ac:dyDescent="0.2">
      <c r="A12">
        <v>8</v>
      </c>
      <c r="B12" t="str">
        <f>Team_04</f>
        <v>Zürich 3</v>
      </c>
      <c r="C12">
        <f>COUNT(Spielplan!L5,Spielplan!P8,Spielplan!H11,Spielplan!D17,Spielplan!L22,Spielplan!P25,Spielplan!L28)</f>
        <v>7</v>
      </c>
      <c r="D12">
        <f>SUM(Punkte_Team_04)</f>
        <v>4</v>
      </c>
      <c r="E12">
        <f>SUM(Tore_Team_04)</f>
        <v>19</v>
      </c>
      <c r="F12">
        <f>SUM(eTore_Team_04)</f>
        <v>33</v>
      </c>
      <c r="G12">
        <f t="shared" si="0"/>
        <v>-14</v>
      </c>
      <c r="H12">
        <f t="shared" si="1"/>
        <v>0.5757575757575758</v>
      </c>
      <c r="I12" s="22">
        <f t="shared" si="2"/>
        <v>4</v>
      </c>
      <c r="J12" s="22">
        <f t="shared" si="2"/>
        <v>19</v>
      </c>
      <c r="K12" s="22">
        <f t="shared" si="2"/>
        <v>33</v>
      </c>
      <c r="L12">
        <f>Spielplan!L5</f>
        <v>2</v>
      </c>
      <c r="M12">
        <f>Spielplan!M5</f>
        <v>4</v>
      </c>
      <c r="N12">
        <f>Spielplan!O5</f>
        <v>2</v>
      </c>
      <c r="O12">
        <f>Spielplan!P8</f>
        <v>0</v>
      </c>
      <c r="P12">
        <f>Spielplan!O8</f>
        <v>4</v>
      </c>
      <c r="Q12">
        <f>Spielplan!M8</f>
        <v>5</v>
      </c>
      <c r="R12">
        <f>Spielplan!H11</f>
        <v>0</v>
      </c>
      <c r="S12">
        <f>Spielplan!G11</f>
        <v>0</v>
      </c>
      <c r="T12">
        <f>Spielplan!E11</f>
        <v>6</v>
      </c>
      <c r="U12">
        <f>Spielplan!D17</f>
        <v>0</v>
      </c>
      <c r="V12">
        <f>Spielplan!E17</f>
        <v>3</v>
      </c>
      <c r="W12">
        <f>Spielplan!G17</f>
        <v>6</v>
      </c>
      <c r="X12">
        <f>Spielplan!L22</f>
        <v>0</v>
      </c>
      <c r="Y12">
        <f>Spielplan!M22</f>
        <v>0</v>
      </c>
      <c r="Z12">
        <f>Spielplan!O22</f>
        <v>7</v>
      </c>
      <c r="AA12">
        <f>Spielplan!P25</f>
        <v>0</v>
      </c>
      <c r="AB12">
        <f>Spielplan!O25</f>
        <v>3</v>
      </c>
      <c r="AC12">
        <f>Spielplan!M25</f>
        <v>4</v>
      </c>
      <c r="AD12">
        <f>Spielplan!L28</f>
        <v>2</v>
      </c>
      <c r="AE12">
        <f>Spielplan!M28</f>
        <v>5</v>
      </c>
      <c r="AF12">
        <f>Spielplan!O28</f>
        <v>3</v>
      </c>
    </row>
    <row r="14" spans="1:32" ht="21" thickBot="1" x14ac:dyDescent="0.35">
      <c r="A14" s="41" t="s">
        <v>89</v>
      </c>
      <c r="B14" s="42"/>
      <c r="C14" s="42"/>
      <c r="D14" s="42"/>
      <c r="E14" s="42"/>
      <c r="F14" s="42"/>
      <c r="G14" s="42"/>
      <c r="H14" s="42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32" ht="15.75" thickBot="1" x14ac:dyDescent="0.25">
      <c r="I15" s="39" t="s">
        <v>60</v>
      </c>
      <c r="J15" s="39"/>
      <c r="K15" s="40"/>
      <c r="L15" s="38" t="s">
        <v>17</v>
      </c>
      <c r="M15" s="38"/>
      <c r="N15" s="38"/>
      <c r="O15" s="38" t="s">
        <v>20</v>
      </c>
      <c r="P15" s="38"/>
      <c r="Q15" s="38"/>
      <c r="R15" s="38" t="s">
        <v>21</v>
      </c>
      <c r="S15" s="38"/>
      <c r="T15" s="38"/>
      <c r="U15" s="38" t="s">
        <v>22</v>
      </c>
      <c r="V15" s="38"/>
      <c r="W15" s="38"/>
      <c r="X15" s="38" t="s">
        <v>23</v>
      </c>
      <c r="Y15" s="38"/>
      <c r="Z15" s="38"/>
      <c r="AA15" s="38" t="s">
        <v>24</v>
      </c>
      <c r="AB15" s="38"/>
      <c r="AC15" s="38"/>
    </row>
    <row r="16" spans="1:32" ht="15.75" x14ac:dyDescent="0.25">
      <c r="A16" s="23" t="s">
        <v>10</v>
      </c>
      <c r="B16" s="3" t="s">
        <v>9</v>
      </c>
      <c r="C16" s="3" t="s">
        <v>11</v>
      </c>
      <c r="D16" s="3" t="s">
        <v>12</v>
      </c>
      <c r="E16" s="3" t="s">
        <v>13</v>
      </c>
      <c r="F16" s="3" t="s">
        <v>14</v>
      </c>
      <c r="G16" s="3" t="s">
        <v>15</v>
      </c>
      <c r="H16" s="3" t="s">
        <v>16</v>
      </c>
      <c r="I16" s="7" t="s">
        <v>8</v>
      </c>
      <c r="J16" s="7" t="s">
        <v>61</v>
      </c>
      <c r="K16" s="7" t="s">
        <v>62</v>
      </c>
      <c r="L16" s="10" t="s">
        <v>8</v>
      </c>
      <c r="M16" s="11" t="s">
        <v>18</v>
      </c>
      <c r="N16" s="12" t="s">
        <v>19</v>
      </c>
      <c r="O16" s="10" t="s">
        <v>8</v>
      </c>
      <c r="P16" s="11" t="s">
        <v>18</v>
      </c>
      <c r="Q16" s="12" t="s">
        <v>19</v>
      </c>
      <c r="R16" s="10" t="s">
        <v>8</v>
      </c>
      <c r="S16" s="11" t="s">
        <v>18</v>
      </c>
      <c r="T16" s="12" t="s">
        <v>19</v>
      </c>
      <c r="U16" s="10" t="s">
        <v>8</v>
      </c>
      <c r="V16" s="11" t="s">
        <v>18</v>
      </c>
      <c r="W16" s="12" t="s">
        <v>19</v>
      </c>
      <c r="X16" s="10" t="s">
        <v>8</v>
      </c>
      <c r="Y16" s="11" t="s">
        <v>18</v>
      </c>
      <c r="Z16" s="12" t="s">
        <v>19</v>
      </c>
      <c r="AA16" s="10" t="s">
        <v>8</v>
      </c>
      <c r="AB16" s="11" t="s">
        <v>18</v>
      </c>
      <c r="AC16" s="12" t="s">
        <v>19</v>
      </c>
    </row>
    <row r="17" spans="1:32" x14ac:dyDescent="0.2">
      <c r="A17">
        <v>1</v>
      </c>
      <c r="B17" t="str">
        <f>Team_12</f>
        <v>TB Glarus 11</v>
      </c>
      <c r="C17">
        <f>COUNT(Spielplan!H16,Spielplan!L20,Spielplan!H29,Spielplan!D33,Spielplan!P38,Spielplan!D24)</f>
        <v>4</v>
      </c>
      <c r="D17">
        <f>SUM(Punkte_Team_12)</f>
        <v>12</v>
      </c>
      <c r="E17">
        <f>SUM(Tore_Team_12)</f>
        <v>42</v>
      </c>
      <c r="F17">
        <f>SUM(eTore_Team_12)</f>
        <v>15</v>
      </c>
      <c r="G17">
        <f t="shared" ref="G17:G23" si="3">SUM(E17-F17)</f>
        <v>27</v>
      </c>
      <c r="H17">
        <f t="shared" ref="H17:H23" si="4">SUM(E17/F17)</f>
        <v>2.8</v>
      </c>
      <c r="I17" s="22">
        <f t="shared" ref="I17:K23" si="5">SUM(L17,O17,R17,U17,X17,AA17)</f>
        <v>5</v>
      </c>
      <c r="J17" s="22">
        <f t="shared" si="5"/>
        <v>15</v>
      </c>
      <c r="K17" s="22">
        <f t="shared" si="5"/>
        <v>9</v>
      </c>
      <c r="L17">
        <f>Spielplan!H16</f>
        <v>0</v>
      </c>
      <c r="M17">
        <f>Spielplan!G16</f>
        <v>0</v>
      </c>
      <c r="N17">
        <f>Spielplan!E16</f>
        <v>0</v>
      </c>
      <c r="O17">
        <f>Spielplan!L20</f>
        <v>0</v>
      </c>
      <c r="P17">
        <f>Spielplan!M20</f>
        <v>2</v>
      </c>
      <c r="Q17">
        <f>Spielplan!O20</f>
        <v>4</v>
      </c>
      <c r="R17">
        <f>Spielplan!D24</f>
        <v>1</v>
      </c>
      <c r="S17">
        <f>Spielplan!E24</f>
        <v>2</v>
      </c>
      <c r="T17">
        <f>Spielplan!G24</f>
        <v>2</v>
      </c>
      <c r="U17">
        <f>Spielplan!H29</f>
        <v>2</v>
      </c>
      <c r="V17">
        <f>Spielplan!G29</f>
        <v>8</v>
      </c>
      <c r="W17">
        <f>Spielplan!E29</f>
        <v>1</v>
      </c>
      <c r="X17" t="str">
        <f>Spielplan!D33</f>
        <v/>
      </c>
      <c r="Y17">
        <f>Spielplan!E33</f>
        <v>0</v>
      </c>
      <c r="Z17">
        <f>Spielplan!G33</f>
        <v>0</v>
      </c>
      <c r="AA17">
        <f>Spielplan!P38</f>
        <v>2</v>
      </c>
      <c r="AB17">
        <f>Spielplan!O38</f>
        <v>3</v>
      </c>
      <c r="AC17">
        <f>Spielplan!M38</f>
        <v>2</v>
      </c>
    </row>
    <row r="18" spans="1:32" x14ac:dyDescent="0.2">
      <c r="A18">
        <v>2</v>
      </c>
      <c r="B18" t="str">
        <f>Team_09</f>
        <v>Zürich 2</v>
      </c>
      <c r="C18">
        <f>COUNT(Spielplan!H18,Spielplan!L23,Spielplan!P27,Spielplan!D29,Spielplan!P32,Spielplan!D36)</f>
        <v>6</v>
      </c>
      <c r="D18">
        <f>SUM(Punkte_Team_09)</f>
        <v>8</v>
      </c>
      <c r="E18">
        <f>SUM(Tore_Team_09)</f>
        <v>20</v>
      </c>
      <c r="F18">
        <f>SUM(eTore_Team_09)</f>
        <v>15</v>
      </c>
      <c r="G18">
        <f t="shared" si="3"/>
        <v>5</v>
      </c>
      <c r="H18">
        <f t="shared" si="4"/>
        <v>1.3333333333333333</v>
      </c>
      <c r="I18" s="22">
        <f t="shared" si="5"/>
        <v>8</v>
      </c>
      <c r="J18" s="22">
        <f t="shared" si="5"/>
        <v>26</v>
      </c>
      <c r="K18" s="22">
        <f t="shared" si="5"/>
        <v>23</v>
      </c>
      <c r="L18">
        <f>Spielplan!H18</f>
        <v>2</v>
      </c>
      <c r="M18">
        <f>Spielplan!G18</f>
        <v>5</v>
      </c>
      <c r="N18">
        <f>Spielplan!E18</f>
        <v>2</v>
      </c>
      <c r="O18">
        <f>Spielplan!L23</f>
        <v>2</v>
      </c>
      <c r="P18">
        <f>Spielplan!M23</f>
        <v>5</v>
      </c>
      <c r="Q18">
        <f>Spielplan!O23</f>
        <v>1</v>
      </c>
      <c r="R18">
        <f>Spielplan!P27</f>
        <v>2</v>
      </c>
      <c r="S18">
        <f>Spielplan!O27</f>
        <v>8</v>
      </c>
      <c r="T18">
        <f>Spielplan!M27</f>
        <v>1</v>
      </c>
      <c r="U18">
        <f>Spielplan!D29</f>
        <v>0</v>
      </c>
      <c r="V18">
        <f>Spielplan!E29</f>
        <v>1</v>
      </c>
      <c r="W18">
        <f>Spielplan!G29</f>
        <v>8</v>
      </c>
      <c r="X18">
        <f>Spielplan!P32</f>
        <v>0</v>
      </c>
      <c r="Y18">
        <f>Spielplan!O32</f>
        <v>1</v>
      </c>
      <c r="Z18">
        <f>Spielplan!M32</f>
        <v>7</v>
      </c>
      <c r="AA18">
        <f>Spielplan!D36</f>
        <v>2</v>
      </c>
      <c r="AB18">
        <f>Spielplan!E36</f>
        <v>6</v>
      </c>
      <c r="AC18">
        <f>Spielplan!G36</f>
        <v>4</v>
      </c>
    </row>
    <row r="19" spans="1:32" x14ac:dyDescent="0.2">
      <c r="A19">
        <v>3</v>
      </c>
      <c r="B19" t="str">
        <f>Team_11</f>
        <v>LSDV - CLUJ, ROMANIA</v>
      </c>
      <c r="C19">
        <f>COUNT(Spielplan!D16,Spielplan!H20,Spielplan!P23,Spielplan!L26,Spielplan!P30,Spielplan!D38)</f>
        <v>3</v>
      </c>
      <c r="D19">
        <f>SUM(Punkte_Team_11)</f>
        <v>8</v>
      </c>
      <c r="E19">
        <f>SUM(Tore_Team_11)</f>
        <v>22</v>
      </c>
      <c r="F19">
        <f>SUM(eTore_Team_11)</f>
        <v>21</v>
      </c>
      <c r="G19">
        <f t="shared" si="3"/>
        <v>1</v>
      </c>
      <c r="H19">
        <f t="shared" si="4"/>
        <v>1.0476190476190477</v>
      </c>
      <c r="I19" s="22">
        <f t="shared" si="5"/>
        <v>2</v>
      </c>
      <c r="J19" s="22">
        <f t="shared" si="5"/>
        <v>7</v>
      </c>
      <c r="K19" s="22">
        <f t="shared" si="5"/>
        <v>13</v>
      </c>
      <c r="L19">
        <f>Spielplan!D16</f>
        <v>0</v>
      </c>
      <c r="M19">
        <f>Spielplan!E16</f>
        <v>0</v>
      </c>
      <c r="N19">
        <f>Spielplan!G16</f>
        <v>0</v>
      </c>
      <c r="O19">
        <f>Spielplan!H20</f>
        <v>0</v>
      </c>
      <c r="P19">
        <f>Spielplan!G20</f>
        <v>1</v>
      </c>
      <c r="Q19">
        <f>Spielplan!E20</f>
        <v>5</v>
      </c>
      <c r="R19">
        <f>Spielplan!P23</f>
        <v>0</v>
      </c>
      <c r="S19">
        <f>Spielplan!O23</f>
        <v>1</v>
      </c>
      <c r="T19">
        <f>Spielplan!M23</f>
        <v>5</v>
      </c>
      <c r="U19">
        <f>Spielplan!L26</f>
        <v>0</v>
      </c>
      <c r="V19">
        <f>Spielplan!M26</f>
        <v>0</v>
      </c>
      <c r="W19">
        <f>Spielplan!O26</f>
        <v>0</v>
      </c>
      <c r="X19">
        <f>Spielplan!P30</f>
        <v>0</v>
      </c>
      <c r="Y19">
        <f>Spielplan!O30</f>
        <v>0</v>
      </c>
      <c r="Z19">
        <f>Spielplan!M30</f>
        <v>0</v>
      </c>
      <c r="AA19">
        <f>Spielplan!D38</f>
        <v>2</v>
      </c>
      <c r="AB19">
        <f>Spielplan!E38</f>
        <v>5</v>
      </c>
      <c r="AC19">
        <f>Spielplan!G38</f>
        <v>3</v>
      </c>
    </row>
    <row r="20" spans="1:32" x14ac:dyDescent="0.2">
      <c r="A20">
        <v>4</v>
      </c>
      <c r="B20" t="str">
        <f>Team_14</f>
        <v>Baar 1</v>
      </c>
      <c r="C20">
        <f>COUNT(Spielplan!P17,Spielplan!L21,Spielplan!H24,Spielplan!L32,Spielplan!D35,Spielplan!H38)</f>
        <v>5</v>
      </c>
      <c r="D20">
        <f>SUM(Punkte_Team_14)</f>
        <v>7</v>
      </c>
      <c r="E20">
        <f>SUM(Tore_Team_14)</f>
        <v>27</v>
      </c>
      <c r="F20">
        <f>SUM(eTore_Team_14)</f>
        <v>14</v>
      </c>
      <c r="G20">
        <f t="shared" si="3"/>
        <v>13</v>
      </c>
      <c r="H20">
        <f t="shared" si="4"/>
        <v>1.9285714285714286</v>
      </c>
      <c r="I20" s="22">
        <f t="shared" si="5"/>
        <v>5</v>
      </c>
      <c r="J20" s="22">
        <f t="shared" si="5"/>
        <v>16</v>
      </c>
      <c r="K20" s="22">
        <f t="shared" si="5"/>
        <v>14</v>
      </c>
      <c r="L20">
        <f>Spielplan!P17</f>
        <v>0</v>
      </c>
      <c r="M20">
        <f>Spielplan!O17</f>
        <v>2</v>
      </c>
      <c r="N20">
        <f>Spielplan!M17</f>
        <v>5</v>
      </c>
      <c r="O20">
        <f>Spielplan!L21</f>
        <v>2</v>
      </c>
      <c r="P20">
        <f>Spielplan!M21</f>
        <v>2</v>
      </c>
      <c r="Q20">
        <f>Spielplan!O21</f>
        <v>1</v>
      </c>
      <c r="R20">
        <f>Spielplan!H24</f>
        <v>1</v>
      </c>
      <c r="S20">
        <f>Spielplan!G24</f>
        <v>2</v>
      </c>
      <c r="T20">
        <f>Spielplan!E24</f>
        <v>2</v>
      </c>
      <c r="U20">
        <f>Spielplan!L32</f>
        <v>2</v>
      </c>
      <c r="V20">
        <f>Spielplan!M32</f>
        <v>7</v>
      </c>
      <c r="W20">
        <f>Spielplan!O32</f>
        <v>1</v>
      </c>
      <c r="X20" t="str">
        <f>Spielplan!D35</f>
        <v/>
      </c>
      <c r="Y20">
        <f>Spielplan!E35</f>
        <v>0</v>
      </c>
      <c r="Z20">
        <f>Spielplan!G35</f>
        <v>0</v>
      </c>
      <c r="AA20">
        <f>Spielplan!H38</f>
        <v>0</v>
      </c>
      <c r="AB20">
        <f>Spielplan!G38</f>
        <v>3</v>
      </c>
      <c r="AC20">
        <f>Spielplan!E38</f>
        <v>5</v>
      </c>
    </row>
    <row r="21" spans="1:32" x14ac:dyDescent="0.2">
      <c r="A21">
        <v>5</v>
      </c>
      <c r="B21" t="str">
        <f>Team_13</f>
        <v>Baar 3</v>
      </c>
      <c r="C21">
        <f>COUNT(Spielplan!L17,Spielplan!P20,Spielplan!L24,Spielplan!L30,Spielplan!H36,Spielplan!H40)</f>
        <v>5</v>
      </c>
      <c r="D21">
        <f>SUM(Punkte_Team_13)</f>
        <v>4</v>
      </c>
      <c r="E21">
        <f>SUM(Tore_Team_13)</f>
        <v>24</v>
      </c>
      <c r="F21">
        <f>SUM(eTore_Team_13)</f>
        <v>34</v>
      </c>
      <c r="G21">
        <f t="shared" si="3"/>
        <v>-10</v>
      </c>
      <c r="H21">
        <f t="shared" si="4"/>
        <v>0.70588235294117652</v>
      </c>
      <c r="I21" s="22">
        <f t="shared" si="5"/>
        <v>6</v>
      </c>
      <c r="J21" s="22">
        <f t="shared" si="5"/>
        <v>22</v>
      </c>
      <c r="K21" s="22">
        <f t="shared" si="5"/>
        <v>20</v>
      </c>
      <c r="L21">
        <f>Spielplan!L17</f>
        <v>2</v>
      </c>
      <c r="M21">
        <f>Spielplan!M17</f>
        <v>5</v>
      </c>
      <c r="N21">
        <f>Spielplan!O17</f>
        <v>2</v>
      </c>
      <c r="O21">
        <f>Spielplan!P20</f>
        <v>2</v>
      </c>
      <c r="P21">
        <f>Spielplan!O20</f>
        <v>4</v>
      </c>
      <c r="Q21">
        <f>Spielplan!M20</f>
        <v>2</v>
      </c>
      <c r="R21">
        <f>Spielplan!L24</f>
        <v>2</v>
      </c>
      <c r="S21">
        <f>Spielplan!M24</f>
        <v>5</v>
      </c>
      <c r="T21">
        <f>Spielplan!O24</f>
        <v>3</v>
      </c>
      <c r="U21">
        <f>Spielplan!L30</f>
        <v>0</v>
      </c>
      <c r="V21">
        <f>Spielplan!M30</f>
        <v>0</v>
      </c>
      <c r="W21">
        <f>Spielplan!O30</f>
        <v>0</v>
      </c>
      <c r="X21">
        <f>Spielplan!H36</f>
        <v>0</v>
      </c>
      <c r="Y21">
        <f>Spielplan!G36</f>
        <v>4</v>
      </c>
      <c r="Z21">
        <f>Spielplan!E36</f>
        <v>6</v>
      </c>
      <c r="AA21">
        <f>Spielplan!H40</f>
        <v>0</v>
      </c>
      <c r="AB21">
        <f>Spielplan!G40</f>
        <v>4</v>
      </c>
      <c r="AC21">
        <f>Spielplan!E40</f>
        <v>7</v>
      </c>
    </row>
    <row r="22" spans="1:32" x14ac:dyDescent="0.2">
      <c r="A22">
        <v>6</v>
      </c>
      <c r="B22" t="str">
        <f>Team_15</f>
        <v>Zollikofen 2</v>
      </c>
      <c r="C22">
        <f>COUNT(Spielplan!D18,Spielplan!P21,Spielplan!P26,Spielplan!D30,Spielplan!H33,Spielplan!D40)</f>
        <v>3</v>
      </c>
      <c r="D22">
        <f>SUM(Punkte_Team_15)</f>
        <v>2</v>
      </c>
      <c r="E22">
        <f>SUM(Tore_Team_15)</f>
        <v>14</v>
      </c>
      <c r="F22">
        <f>SUM(eTore_Team_15)</f>
        <v>36</v>
      </c>
      <c r="G22">
        <f t="shared" si="3"/>
        <v>-22</v>
      </c>
      <c r="H22">
        <f t="shared" si="4"/>
        <v>0.3888888888888889</v>
      </c>
      <c r="I22" s="22">
        <f t="shared" si="5"/>
        <v>2</v>
      </c>
      <c r="J22" s="22">
        <f t="shared" si="5"/>
        <v>10</v>
      </c>
      <c r="K22" s="22">
        <f t="shared" si="5"/>
        <v>11</v>
      </c>
      <c r="L22">
        <f>Spielplan!D18</f>
        <v>0</v>
      </c>
      <c r="M22">
        <f>Spielplan!E18</f>
        <v>2</v>
      </c>
      <c r="N22">
        <f>Spielplan!G18</f>
        <v>5</v>
      </c>
      <c r="O22">
        <f>Spielplan!P21</f>
        <v>0</v>
      </c>
      <c r="P22">
        <f>Spielplan!O21</f>
        <v>1</v>
      </c>
      <c r="Q22">
        <f>Spielplan!M21</f>
        <v>2</v>
      </c>
      <c r="R22">
        <f>Spielplan!P26</f>
        <v>0</v>
      </c>
      <c r="S22">
        <f>Spielplan!O26</f>
        <v>0</v>
      </c>
      <c r="T22">
        <f>Spielplan!M26</f>
        <v>0</v>
      </c>
      <c r="U22" t="str">
        <f>Spielplan!D30</f>
        <v/>
      </c>
      <c r="V22">
        <f>Spielplan!E30</f>
        <v>0</v>
      </c>
      <c r="W22">
        <f>Spielplan!G30</f>
        <v>0</v>
      </c>
      <c r="X22">
        <f>Spielplan!H33</f>
        <v>0</v>
      </c>
      <c r="Y22">
        <f>Spielplan!G33</f>
        <v>0</v>
      </c>
      <c r="Z22">
        <f>Spielplan!E33</f>
        <v>0</v>
      </c>
      <c r="AA22">
        <f>Spielplan!D40</f>
        <v>2</v>
      </c>
      <c r="AB22">
        <f>Spielplan!E40</f>
        <v>7</v>
      </c>
      <c r="AC22">
        <f>Spielplan!G40</f>
        <v>4</v>
      </c>
    </row>
    <row r="23" spans="1:32" x14ac:dyDescent="0.2">
      <c r="A23">
        <v>7</v>
      </c>
      <c r="B23" t="str">
        <f>Team_10</f>
        <v>VDSE Budapest</v>
      </c>
      <c r="C23">
        <f>COUNT(Spielplan!D20,Spielplan!P24,Spielplan!L27,Spielplan!H30,Spielplan!H35,Spielplan!L38)</f>
        <v>4</v>
      </c>
      <c r="D23">
        <f>SUM(Punkte_Team_10)</f>
        <v>1</v>
      </c>
      <c r="E23">
        <f>SUM(Tore_Team_10)</f>
        <v>15</v>
      </c>
      <c r="F23">
        <f>SUM(eTore_Team_10)</f>
        <v>29</v>
      </c>
      <c r="G23">
        <f t="shared" si="3"/>
        <v>-14</v>
      </c>
      <c r="H23">
        <f t="shared" si="4"/>
        <v>0.51724137931034486</v>
      </c>
      <c r="I23" s="22">
        <f t="shared" si="5"/>
        <v>2</v>
      </c>
      <c r="J23" s="22">
        <f t="shared" si="5"/>
        <v>11</v>
      </c>
      <c r="K23" s="22">
        <f t="shared" si="5"/>
        <v>17</v>
      </c>
      <c r="L23">
        <f>Spielplan!D20</f>
        <v>2</v>
      </c>
      <c r="M23">
        <f>Spielplan!E20</f>
        <v>5</v>
      </c>
      <c r="N23">
        <f>Spielplan!G20</f>
        <v>1</v>
      </c>
      <c r="O23">
        <f>Spielplan!P24</f>
        <v>0</v>
      </c>
      <c r="P23">
        <f>Spielplan!O24</f>
        <v>3</v>
      </c>
      <c r="Q23">
        <f>Spielplan!M24</f>
        <v>5</v>
      </c>
      <c r="R23">
        <f>Spielplan!L27</f>
        <v>0</v>
      </c>
      <c r="S23">
        <f>Spielplan!M27</f>
        <v>1</v>
      </c>
      <c r="T23">
        <f>Spielplan!O27</f>
        <v>8</v>
      </c>
      <c r="U23">
        <f>Spielplan!H30</f>
        <v>0</v>
      </c>
      <c r="V23">
        <f>Spielplan!G30</f>
        <v>0</v>
      </c>
      <c r="W23">
        <f>Spielplan!E30</f>
        <v>0</v>
      </c>
      <c r="X23">
        <f>Spielplan!H35</f>
        <v>0</v>
      </c>
      <c r="Y23">
        <f>Spielplan!G35</f>
        <v>0</v>
      </c>
      <c r="Z23">
        <f>Spielplan!E35</f>
        <v>0</v>
      </c>
      <c r="AA23">
        <f>Spielplan!L38</f>
        <v>0</v>
      </c>
      <c r="AB23">
        <f>Spielplan!M38</f>
        <v>2</v>
      </c>
      <c r="AC23">
        <f>Spielplan!O38</f>
        <v>3</v>
      </c>
    </row>
    <row r="30" spans="1:32" ht="60" customHeight="1" x14ac:dyDescent="0.3">
      <c r="A30" s="41" t="s">
        <v>90</v>
      </c>
      <c r="B30" s="42"/>
      <c r="C30" s="42"/>
      <c r="D30" s="42"/>
      <c r="E30" s="42"/>
      <c r="F30" s="42"/>
      <c r="G30" s="42"/>
      <c r="H30" s="42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2" spans="1:32" ht="15.75" x14ac:dyDescent="0.25">
      <c r="A32" s="13"/>
      <c r="B32" s="24" t="s">
        <v>10</v>
      </c>
      <c r="C32" s="46" t="s">
        <v>1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2:21" x14ac:dyDescent="0.2">
      <c r="B33" s="25">
        <v>1</v>
      </c>
      <c r="C33" s="26" t="s">
        <v>48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x14ac:dyDescent="0.2">
      <c r="B34" s="25">
        <v>2</v>
      </c>
      <c r="C34" s="26" t="s">
        <v>45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x14ac:dyDescent="0.2">
      <c r="B35" s="25">
        <v>3</v>
      </c>
      <c r="C35" s="26" t="s">
        <v>56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x14ac:dyDescent="0.2">
      <c r="B36" s="25">
        <v>4</v>
      </c>
      <c r="C36" s="45" t="s">
        <v>47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2:21" x14ac:dyDescent="0.2">
      <c r="B37" s="25">
        <v>5</v>
      </c>
      <c r="C37" s="45" t="s">
        <v>52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2:21" x14ac:dyDescent="0.2">
      <c r="B38" s="25">
        <v>5</v>
      </c>
      <c r="C38" s="45" t="s">
        <v>57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2:21" x14ac:dyDescent="0.2">
      <c r="B39" s="25">
        <v>5</v>
      </c>
      <c r="C39" s="45" t="s">
        <v>58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2:21" x14ac:dyDescent="0.2">
      <c r="B40" s="25">
        <v>5</v>
      </c>
      <c r="C40" s="45" t="s">
        <v>55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2:21" x14ac:dyDescent="0.2">
      <c r="B41" s="25">
        <v>9</v>
      </c>
      <c r="C41" s="45" t="s">
        <v>49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2:21" x14ac:dyDescent="0.2">
      <c r="B42" s="25">
        <v>10</v>
      </c>
      <c r="C42" s="45" t="s">
        <v>59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2:21" x14ac:dyDescent="0.2">
      <c r="B43" s="25">
        <v>11</v>
      </c>
      <c r="C43" s="45" t="s">
        <v>51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2:21" x14ac:dyDescent="0.2">
      <c r="B44" s="25">
        <v>12</v>
      </c>
      <c r="C44" s="45" t="s">
        <v>50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2:21" x14ac:dyDescent="0.2">
      <c r="B45" s="25">
        <v>13</v>
      </c>
      <c r="C45" s="45" t="s">
        <v>54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2:21" x14ac:dyDescent="0.2">
      <c r="B46" s="25">
        <v>14</v>
      </c>
      <c r="C46" s="45" t="s">
        <v>53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2:21" x14ac:dyDescent="0.2">
      <c r="B47" s="25">
        <v>15</v>
      </c>
      <c r="C47" s="45" t="s">
        <v>46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</sheetData>
  <mergeCells count="34">
    <mergeCell ref="A1:AF1"/>
    <mergeCell ref="I3:K3"/>
    <mergeCell ref="L3:N3"/>
    <mergeCell ref="O3:Q3"/>
    <mergeCell ref="R3:T3"/>
    <mergeCell ref="U3:W3"/>
    <mergeCell ref="X3:Z3"/>
    <mergeCell ref="AA3:AC3"/>
    <mergeCell ref="AD3:AF3"/>
    <mergeCell ref="C40:U40"/>
    <mergeCell ref="AA15:AC15"/>
    <mergeCell ref="A14:AC14"/>
    <mergeCell ref="A30:AF30"/>
    <mergeCell ref="C32:U32"/>
    <mergeCell ref="C33:U33"/>
    <mergeCell ref="C34:U34"/>
    <mergeCell ref="I15:K15"/>
    <mergeCell ref="L15:N15"/>
    <mergeCell ref="O15:Q15"/>
    <mergeCell ref="R15:T15"/>
    <mergeCell ref="U15:W15"/>
    <mergeCell ref="X15:Z15"/>
    <mergeCell ref="C35:U35"/>
    <mergeCell ref="C36:U36"/>
    <mergeCell ref="C37:U37"/>
    <mergeCell ref="C38:U38"/>
    <mergeCell ref="C39:U39"/>
    <mergeCell ref="C47:U47"/>
    <mergeCell ref="C41:U41"/>
    <mergeCell ref="C42:U42"/>
    <mergeCell ref="C43:U43"/>
    <mergeCell ref="C44:U44"/>
    <mergeCell ref="C45:U45"/>
    <mergeCell ref="C46:U46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hotoDeluxeBusiness.Image.1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923925</xdr:colOff>
                <xdr:row>1</xdr:row>
                <xdr:rowOff>152400</xdr:rowOff>
              </to>
            </anchor>
          </objectPr>
        </oleObject>
      </mc:Choice>
      <mc:Fallback>
        <oleObject progId="PhotoDeluxeBusiness.Image.1" shapeId="6145" r:id="rId4"/>
      </mc:Fallback>
    </mc:AlternateContent>
    <mc:AlternateContent xmlns:mc="http://schemas.openxmlformats.org/markup-compatibility/2006">
      <mc:Choice Requires="x14">
        <oleObject progId="PhotoDeluxeBusiness.Image.1" shapeId="6147" r:id="rId6">
          <objectPr defaultSize="0" autoPict="0" r:id="rId5">
            <anchor moveWithCells="1" sizeWithCells="1">
              <from>
                <xdr:col>0</xdr:col>
                <xdr:colOff>0</xdr:colOff>
                <xdr:row>29</xdr:row>
                <xdr:rowOff>0</xdr:rowOff>
              </from>
              <to>
                <xdr:col>1</xdr:col>
                <xdr:colOff>923925</xdr:colOff>
                <xdr:row>30</xdr:row>
                <xdr:rowOff>152400</xdr:rowOff>
              </to>
            </anchor>
          </objectPr>
        </oleObject>
      </mc:Choice>
      <mc:Fallback>
        <oleObject progId="PhotoDeluxeBusiness.Image.1" shapeId="614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63</vt:i4>
      </vt:variant>
    </vt:vector>
  </HeadingPairs>
  <TitlesOfParts>
    <vt:vector size="68" baseType="lpstr">
      <vt:lpstr>Start</vt:lpstr>
      <vt:lpstr>Spielplan</vt:lpstr>
      <vt:lpstr>Rangliste_GR_2</vt:lpstr>
      <vt:lpstr>Rangliste_GR_1</vt:lpstr>
      <vt:lpstr>RanglisteGesamt</vt:lpstr>
      <vt:lpstr>Spielplan!Drucktitel</vt:lpstr>
      <vt:lpstr>eTore_Team_01</vt:lpstr>
      <vt:lpstr>eTore_Team_02</vt:lpstr>
      <vt:lpstr>eTore_Team_03</vt:lpstr>
      <vt:lpstr>eTore_Team_04</vt:lpstr>
      <vt:lpstr>eTore_Team_05</vt:lpstr>
      <vt:lpstr>eTore_Team_06</vt:lpstr>
      <vt:lpstr>eTore_Team_07</vt:lpstr>
      <vt:lpstr>eTore_Team_08</vt:lpstr>
      <vt:lpstr>eTore_Team_09</vt:lpstr>
      <vt:lpstr>eTore_Team_10</vt:lpstr>
      <vt:lpstr>eTore_Team_11</vt:lpstr>
      <vt:lpstr>eTore_Team_12</vt:lpstr>
      <vt:lpstr>eTore_Team_13</vt:lpstr>
      <vt:lpstr>eTore_Team_14</vt:lpstr>
      <vt:lpstr>eTore_Team_15</vt:lpstr>
      <vt:lpstr>Punkte_Team_01</vt:lpstr>
      <vt:lpstr>Punkte_Team_02</vt:lpstr>
      <vt:lpstr>Punkte_Team_03</vt:lpstr>
      <vt:lpstr>Punkte_Team_04</vt:lpstr>
      <vt:lpstr>Punkte_Team_05</vt:lpstr>
      <vt:lpstr>Punkte_Team_06</vt:lpstr>
      <vt:lpstr>Punkte_Team_07</vt:lpstr>
      <vt:lpstr>Punkte_Team_08</vt:lpstr>
      <vt:lpstr>Punkte_Team_09</vt:lpstr>
      <vt:lpstr>Punkte_Team_10</vt:lpstr>
      <vt:lpstr>Punkte_Team_11</vt:lpstr>
      <vt:lpstr>Punkte_Team_12</vt:lpstr>
      <vt:lpstr>Punkte_Team_13</vt:lpstr>
      <vt:lpstr>Punkte_Team_14</vt:lpstr>
      <vt:lpstr>Punkte_Team_15</vt:lpstr>
      <vt:lpstr>Spielbeginn</vt:lpstr>
      <vt:lpstr>Spielzeit</vt:lpstr>
      <vt:lpstr>Team_01</vt:lpstr>
      <vt:lpstr>Team_02</vt:lpstr>
      <vt:lpstr>Team_03</vt:lpstr>
      <vt:lpstr>Team_04</vt:lpstr>
      <vt:lpstr>Team_05</vt:lpstr>
      <vt:lpstr>Team_06</vt:lpstr>
      <vt:lpstr>Team_07</vt:lpstr>
      <vt:lpstr>Team_08</vt:lpstr>
      <vt:lpstr>Team_09</vt:lpstr>
      <vt:lpstr>Team_10</vt:lpstr>
      <vt:lpstr>Team_11</vt:lpstr>
      <vt:lpstr>Team_12</vt:lpstr>
      <vt:lpstr>Team_13</vt:lpstr>
      <vt:lpstr>Team_14</vt:lpstr>
      <vt:lpstr>Team_15</vt:lpstr>
      <vt:lpstr>Tore_Team_01</vt:lpstr>
      <vt:lpstr>Tore_Team_02</vt:lpstr>
      <vt:lpstr>Tore_Team_03</vt:lpstr>
      <vt:lpstr>Tore_Team_04</vt:lpstr>
      <vt:lpstr>Tore_Team_05</vt:lpstr>
      <vt:lpstr>Tore_Team_06</vt:lpstr>
      <vt:lpstr>Tore_Team_07</vt:lpstr>
      <vt:lpstr>Tore_Team_08</vt:lpstr>
      <vt:lpstr>Tore_Team_09</vt:lpstr>
      <vt:lpstr>Tore_Team_10</vt:lpstr>
      <vt:lpstr>Tore_Team_11</vt:lpstr>
      <vt:lpstr>Tore_Team_12</vt:lpstr>
      <vt:lpstr>Tore_Team_13</vt:lpstr>
      <vt:lpstr>Tore_Team_14</vt:lpstr>
      <vt:lpstr>Tore_Team_15</vt:lpstr>
    </vt:vector>
  </TitlesOfParts>
  <Company>Informatik-hilfe.net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Käser</dc:creator>
  <cp:lastModifiedBy>Christoph Käser</cp:lastModifiedBy>
  <cp:lastPrinted>2014-05-18T16:11:11Z</cp:lastPrinted>
  <dcterms:created xsi:type="dcterms:W3CDTF">2013-05-28T22:22:41Z</dcterms:created>
  <dcterms:modified xsi:type="dcterms:W3CDTF">2014-05-18T16:11:34Z</dcterms:modified>
</cp:coreProperties>
</file>